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60" windowWidth="23040" windowHeight="9080" tabRatio="761" firstSheet="1" activeTab="2"/>
  </bookViews>
  <sheets>
    <sheet name="Locality and Max Pay" sheetId="1" state="hidden" r:id="rId1"/>
    <sheet name="LOCALITY INDEX" sheetId="2" r:id="rId2"/>
    <sheet name="No Locality" sheetId="3" r:id="rId3"/>
    <sheet name="Ak" sheetId="4" r:id="rId4"/>
    <sheet name="Albany" sheetId="5" r:id="rId5"/>
    <sheet name="Albuquerque" sheetId="6" r:id="rId6"/>
    <sheet name="atl" sheetId="7" r:id="rId7"/>
    <sheet name="Austin" sheetId="8" r:id="rId8"/>
    <sheet name="bos" sheetId="9" r:id="rId9"/>
    <sheet name="buf" sheetId="10" r:id="rId10"/>
    <sheet name="Charlotte" sheetId="11" r:id="rId11"/>
    <sheet name="chi" sheetId="12" r:id="rId12"/>
    <sheet name="cin" sheetId="13" r:id="rId13"/>
    <sheet name="cle" sheetId="14" r:id="rId14"/>
    <sheet name="Colorado Springs" sheetId="15" r:id="rId15"/>
    <sheet name="col" sheetId="16" r:id="rId16"/>
    <sheet name="dfw" sheetId="17" r:id="rId17"/>
    <sheet name="Davenport" sheetId="18" r:id="rId18"/>
    <sheet name="day" sheetId="19" r:id="rId19"/>
    <sheet name="den" sheetId="20" r:id="rId20"/>
    <sheet name="det" sheetId="21" r:id="rId21"/>
    <sheet name="Harrisburg" sheetId="22" r:id="rId22"/>
    <sheet name="har" sheetId="23" r:id="rId23"/>
    <sheet name="Hi" sheetId="24" r:id="rId24"/>
    <sheet name="hou" sheetId="25" r:id="rId25"/>
    <sheet name="hnt" sheetId="26" r:id="rId26"/>
    <sheet name="ind" sheetId="27" r:id="rId27"/>
    <sheet name="Kansas City" sheetId="28" r:id="rId28"/>
    <sheet name="Laredo" sheetId="29" r:id="rId29"/>
    <sheet name="Las Vegas" sheetId="30" r:id="rId30"/>
    <sheet name="la" sheetId="31" r:id="rId31"/>
    <sheet name="mia" sheetId="32" r:id="rId32"/>
    <sheet name="mil" sheetId="33" r:id="rId33"/>
    <sheet name="msp" sheetId="34" r:id="rId34"/>
    <sheet name="ny" sheetId="35" r:id="rId35"/>
    <sheet name="Palm Bay" sheetId="36" r:id="rId36"/>
    <sheet name="phl" sheetId="37" r:id="rId37"/>
    <sheet name="phx" sheetId="38" r:id="rId38"/>
    <sheet name="pit" sheetId="39" r:id="rId39"/>
    <sheet name="por" sheetId="40" r:id="rId40"/>
    <sheet name="ral" sheetId="41" r:id="rId41"/>
    <sheet name="rch" sheetId="42" r:id="rId42"/>
    <sheet name="sac" sheetId="43" r:id="rId43"/>
    <sheet name="sd" sheetId="44" r:id="rId44"/>
    <sheet name="sf" sheetId="45" r:id="rId45"/>
    <sheet name="sea" sheetId="46" r:id="rId46"/>
    <sheet name="St. Louis" sheetId="47" r:id="rId47"/>
    <sheet name="Tucson" sheetId="48" r:id="rId48"/>
    <sheet name="dcb" sheetId="49" r:id="rId49"/>
    <sheet name="Intl" sheetId="50" r:id="rId50"/>
    <sheet name="rus" sheetId="51" r:id="rId51"/>
  </sheets>
  <definedNames>
    <definedName name="_xlnm.Print_Area" localSheetId="3">'Ak'!$A$6:$N$88</definedName>
    <definedName name="_xlnm.Print_Area" localSheetId="4">'Albany'!$A$6:$N$88</definedName>
    <definedName name="_xlnm.Print_Area" localSheetId="5">'Albuquerque'!$A$6:$N$88</definedName>
    <definedName name="_xlnm.Print_Area" localSheetId="6">'atl'!$A$6:$N$88</definedName>
    <definedName name="_xlnm.Print_Area" localSheetId="7">'Austin'!$A$6:$N$88</definedName>
    <definedName name="_xlnm.Print_Area" localSheetId="8">'bos'!$A$6:$N$88</definedName>
    <definedName name="_xlnm.Print_Area" localSheetId="10">'Charlotte'!$A$6:$N$88</definedName>
    <definedName name="_xlnm.Print_Area" localSheetId="14">'Colorado Springs'!$A$6:$N$88</definedName>
    <definedName name="_xlnm.Print_Area" localSheetId="17">'Davenport'!$A$6:$N$88</definedName>
    <definedName name="_xlnm.Print_Area" localSheetId="21">'Harrisburg'!$A$6:$N$88</definedName>
    <definedName name="_xlnm.Print_Area" localSheetId="27">'Kansas City'!$A$6:$N$88</definedName>
    <definedName name="_xlnm.Print_Area" localSheetId="28">'Laredo'!$A$6:$N$88</definedName>
    <definedName name="_xlnm.Print_Area" localSheetId="29">'Las Vegas'!$A$6:$N$88</definedName>
    <definedName name="_xlnm.Print_Area" localSheetId="35">'Palm Bay'!$A$6:$N$88</definedName>
    <definedName name="_xlnm.Print_Area" localSheetId="46">'St. Louis'!$A$6:$N$88</definedName>
    <definedName name="_xlnm.Print_Area" localSheetId="47">'Tucson'!$A$6:$N$88</definedName>
  </definedNames>
  <calcPr fullCalcOnLoad="1"/>
</workbook>
</file>

<file path=xl/comments3.xml><?xml version="1.0" encoding="utf-8"?>
<comments xmlns="http://schemas.openxmlformats.org/spreadsheetml/2006/main">
  <authors>
    <author>Himelstein, Scott (FAA)</author>
  </authors>
  <commentList>
    <comment ref="S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  <comment ref="W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  <comment ref="X1" authorId="0">
      <text>
        <r>
          <rPr>
            <b/>
            <sz val="9"/>
            <rFont val="Tahoma"/>
            <family val="2"/>
          </rPr>
          <t>Hidden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<sst xmlns="http://schemas.openxmlformats.org/spreadsheetml/2006/main" count="11275" uniqueCount="185">
  <si>
    <t>Atlanta, GA</t>
  </si>
  <si>
    <t>Chicago-Gary-Kenosha, Illinois - Indiana - Wisconsin</t>
  </si>
  <si>
    <t>Cincinnati-Hamilton, Ohio - Kentucky - Indiana</t>
  </si>
  <si>
    <t>Cleveland-Akron, Ohio</t>
  </si>
  <si>
    <t>Columbus, Ohio</t>
  </si>
  <si>
    <t>Dallas-Fort Worth, Texas</t>
  </si>
  <si>
    <t>Dayton-Springfield, Ohio</t>
  </si>
  <si>
    <t>Denver-Boulder-Greeley, Colorado</t>
  </si>
  <si>
    <t>Houston-Galveston-Brazoria, Texas</t>
  </si>
  <si>
    <t>Huntsville, Alabama</t>
  </si>
  <si>
    <t>Indianapolis, Indiana</t>
  </si>
  <si>
    <t>Miami-Fort Lauderdale, Florida</t>
  </si>
  <si>
    <t>Milwaukee-Racine, Wisconsin</t>
  </si>
  <si>
    <t>Minneapolis-St. Paul, Minnesota - Wisconsin</t>
  </si>
  <si>
    <t>New York-Northern New Jersey-Long Island, New York - New Jersey - Connecticut - Pennsylvania</t>
  </si>
  <si>
    <t>Pittsburgh, Pennsylvania</t>
  </si>
  <si>
    <t>Portland-Salem, Oregon - Washington</t>
  </si>
  <si>
    <t>Richmond-Petersburg, Virginia</t>
  </si>
  <si>
    <t>Sacramento-Yolo, California</t>
  </si>
  <si>
    <t>San Diego, California</t>
  </si>
  <si>
    <t>San Francisco-Oakland-San Jose, California</t>
  </si>
  <si>
    <t>Seattle-Tacoma-Bremerton, Washington</t>
  </si>
  <si>
    <t xml:space="preserve">Pay Band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</si>
  <si>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</si>
  <si>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</si>
  <si>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</si>
  <si>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</si>
  <si>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</si>
  <si>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</si>
  <si>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</si>
  <si>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</si>
  <si>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</si>
  <si>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</si>
  <si>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</si>
  <si>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</si>
  <si>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Minimum </t>
  </si>
  <si>
    <t xml:space="preserve">Maximum </t>
  </si>
  <si>
    <t xml:space="preserve">Minimum w/loc </t>
  </si>
  <si>
    <t xml:space="preserve">Maximum w/loc </t>
  </si>
  <si>
    <t>Student</t>
  </si>
  <si>
    <t>Level 1</t>
  </si>
  <si>
    <t>Level 2</t>
  </si>
  <si>
    <t>Level 3</t>
  </si>
  <si>
    <t>FG-1/2</t>
  </si>
  <si>
    <t>FG-3/4</t>
  </si>
  <si>
    <t>FG-5-9</t>
  </si>
  <si>
    <t>Clerical Support</t>
  </si>
  <si>
    <t>FG-1-4</t>
  </si>
  <si>
    <t>FG-5/6</t>
  </si>
  <si>
    <t>FG-7/8</t>
  </si>
  <si>
    <t>Mgr. 1</t>
  </si>
  <si>
    <t>Mgr. 2</t>
  </si>
  <si>
    <t>Admin. Support</t>
  </si>
  <si>
    <t>FG-3-6</t>
  </si>
  <si>
    <t>FG-9/10</t>
  </si>
  <si>
    <t>FG-8 &amp; below</t>
  </si>
  <si>
    <t>FG-9 &amp; above</t>
  </si>
  <si>
    <t>Technical Support</t>
  </si>
  <si>
    <t>FG-9-11</t>
  </si>
  <si>
    <t>FG-11 &amp; below</t>
  </si>
  <si>
    <t>FG-12 &amp; above</t>
  </si>
  <si>
    <t>Para-Professional</t>
  </si>
  <si>
    <t>FG-7-9</t>
  </si>
  <si>
    <t>FG-10/11</t>
  </si>
  <si>
    <t>FG-12/13</t>
  </si>
  <si>
    <t>FG-13 &amp; below</t>
  </si>
  <si>
    <t>FG-14 &amp; above</t>
  </si>
  <si>
    <t>Professional</t>
  </si>
  <si>
    <t>Level 4</t>
  </si>
  <si>
    <t>Level 5</t>
  </si>
  <si>
    <t>FG-12</t>
  </si>
  <si>
    <t>FG-13</t>
  </si>
  <si>
    <t>FG-14/15</t>
  </si>
  <si>
    <t>Mgr. 3</t>
  </si>
  <si>
    <t>FG-14</t>
  </si>
  <si>
    <t>FG-15 &amp; above</t>
  </si>
  <si>
    <t>Technical</t>
  </si>
  <si>
    <t>FG-10-12</t>
  </si>
  <si>
    <t>FG-15</t>
  </si>
  <si>
    <t>FG-14 &amp; below</t>
  </si>
  <si>
    <t>None</t>
  </si>
  <si>
    <t>Engineering</t>
  </si>
  <si>
    <t>Locality:</t>
  </si>
  <si>
    <t>Percentage:</t>
  </si>
  <si>
    <t>Hartford, Connecticut (including all of New London County, CT)</t>
  </si>
  <si>
    <t xml:space="preserve">Los Angeles-Riverside-Orange County, California </t>
  </si>
  <si>
    <t xml:space="preserve">Rest of United States  </t>
  </si>
  <si>
    <t>Detroit-Ann Arbor-Flint, Michigan</t>
  </si>
  <si>
    <t>Philadelphia-Wilmington-Atlantic City, Pennsylvania - New Jersey - Delaware - Maryland</t>
  </si>
  <si>
    <t xml:space="preserve">Washington-Baltimore, District of Columbia - Maryland - Virginia - West Virginia </t>
  </si>
  <si>
    <t>M</t>
  </si>
  <si>
    <t>Level 1**</t>
  </si>
  <si>
    <t>Level 2**</t>
  </si>
  <si>
    <t>FG-13/14</t>
  </si>
  <si>
    <t>FG-9 &amp; below</t>
  </si>
  <si>
    <t>FG-10/12</t>
  </si>
  <si>
    <t>FG-14&amp;below</t>
  </si>
  <si>
    <t>FG-5/7/9</t>
  </si>
  <si>
    <t>FG-11/12</t>
  </si>
  <si>
    <t xml:space="preserve">FG-13 &amp; below </t>
  </si>
  <si>
    <t>FG-10/11/12</t>
  </si>
  <si>
    <t>FG-9/11/12</t>
  </si>
  <si>
    <t>Mgr, 1</t>
  </si>
  <si>
    <t>Buffalo</t>
  </si>
  <si>
    <t>Phoenix, Arizona</t>
  </si>
  <si>
    <t>Raleigh, North Carolina</t>
  </si>
  <si>
    <t>Boston, Worcester-Lawrence, Massachusetts - New Hampshire - Maine - Connecticut</t>
  </si>
  <si>
    <t>Locality Pay Rates</t>
  </si>
  <si>
    <t>Hartford</t>
  </si>
  <si>
    <t>Los Angeles</t>
  </si>
  <si>
    <t>Phoenix</t>
  </si>
  <si>
    <t>Raleigh</t>
  </si>
  <si>
    <t>Washington</t>
  </si>
  <si>
    <t>Rest of United States</t>
  </si>
  <si>
    <t>International</t>
  </si>
  <si>
    <t>Alaska</t>
  </si>
  <si>
    <t>Hawaii</t>
  </si>
  <si>
    <t>No Locality</t>
  </si>
  <si>
    <t>Atlanta</t>
  </si>
  <si>
    <t>Boston</t>
  </si>
  <si>
    <t>Chicago</t>
  </si>
  <si>
    <t>Cincinnati</t>
  </si>
  <si>
    <t>Cleveland</t>
  </si>
  <si>
    <t>Dallas</t>
  </si>
  <si>
    <t>Dayton</t>
  </si>
  <si>
    <t>Denver</t>
  </si>
  <si>
    <t>Detroit</t>
  </si>
  <si>
    <t>Houston</t>
  </si>
  <si>
    <t>Huntsville</t>
  </si>
  <si>
    <t>Indianapolis</t>
  </si>
  <si>
    <t>Miami</t>
  </si>
  <si>
    <t>Milwaukee</t>
  </si>
  <si>
    <t>Minneapolis</t>
  </si>
  <si>
    <t>New York</t>
  </si>
  <si>
    <t>Philadelphia</t>
  </si>
  <si>
    <t>Pittsburgh</t>
  </si>
  <si>
    <t>Portland</t>
  </si>
  <si>
    <t>Columbus</t>
  </si>
  <si>
    <t>Richmond</t>
  </si>
  <si>
    <t>Sacramento</t>
  </si>
  <si>
    <t>San Diego</t>
  </si>
  <si>
    <t>San Francisco</t>
  </si>
  <si>
    <t>Seattle</t>
  </si>
  <si>
    <t>**Career level 1 and level 2 definitions include both managerial and nonmanagerial positions</t>
  </si>
  <si>
    <t>**Specialized
602 (Physician)</t>
  </si>
  <si>
    <t>Specialized
610 (Nurses)
603 (Phys. Asst)</t>
  </si>
  <si>
    <t>Specialized
802 (Eng. Tech.)
856 (Elec. Tech.)
2101 (Trans. Spec)</t>
  </si>
  <si>
    <t>Specialized
905 (Attorney)</t>
  </si>
  <si>
    <t>Specialized
1815 (Investigator)
1825(ASI)</t>
  </si>
  <si>
    <t>Specialized
2152 (Air Traf. Cont
except Flight Service)</t>
  </si>
  <si>
    <t>Specialized 2152
Air Traf. Cont
Flight Service field positions</t>
  </si>
  <si>
    <t>Specialized
2181 (Pilot)</t>
  </si>
  <si>
    <t>LOCALITY INDEX</t>
  </si>
  <si>
    <t>Click on the appropriate link below to view the pay structure for a specific locality.</t>
  </si>
  <si>
    <t>No Locality:</t>
  </si>
  <si>
    <t>Albany</t>
  </si>
  <si>
    <t>Albuquerque</t>
  </si>
  <si>
    <t>Austin</t>
  </si>
  <si>
    <t>Charlotte</t>
  </si>
  <si>
    <t>Colorado Springs</t>
  </si>
  <si>
    <t>Davenport</t>
  </si>
  <si>
    <t>Harrisburg</t>
  </si>
  <si>
    <t>Laredo</t>
  </si>
  <si>
    <t>Kansas City</t>
  </si>
  <si>
    <t>Las Vegas</t>
  </si>
  <si>
    <t>Palm Bay</t>
  </si>
  <si>
    <t>St. Louis</t>
  </si>
  <si>
    <t>Tucson</t>
  </si>
  <si>
    <t>Pay Maximum Increase Rate</t>
  </si>
  <si>
    <t>Albany, NY</t>
  </si>
  <si>
    <t>Albuquerque-Santa Fe, NM</t>
  </si>
  <si>
    <t>Austin, TX</t>
  </si>
  <si>
    <t>Charlotte-Concord, NC-SC</t>
  </si>
  <si>
    <t>Colorado Springs, CO</t>
  </si>
  <si>
    <t>Davenport-Moline, IA-IL</t>
  </si>
  <si>
    <t>Harrisburg-Lebanon,PA</t>
  </si>
  <si>
    <t>Kansas City, MO-KS</t>
  </si>
  <si>
    <t>Laredo, TX</t>
  </si>
  <si>
    <t>Las Vegas-Henderson, NV-AZ</t>
  </si>
  <si>
    <t>Palm Bay, Florida</t>
  </si>
  <si>
    <t>St Louis-St Charlies-Farmingron, MO-IL</t>
  </si>
  <si>
    <t>Tucson, AZ</t>
  </si>
  <si>
    <t>2018 Maximum Pay</t>
  </si>
  <si>
    <t xml:space="preserve">Note:  Pay rates for FAA employees, including locality pay, are capped by law at $189,600 — the rate for level II of the Executive Schedule (P.L. 104-264 paragraph 40122 c).  </t>
  </si>
  <si>
    <t>Core Compensation Plan Pay Bands, effective January 7,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</si>
</sst>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;;;"/>
  </numFmts>
  <fonts count="6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0" fontId="0" fillId="0" borderId="10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6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6" fontId="5" fillId="0" borderId="12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4" fontId="5" fillId="34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>
      <alignment horizontal="center"/>
    </xf>
    <xf numFmtId="10" fontId="2" fillId="0" borderId="16" xfId="0" applyNumberFormat="1" applyFont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left"/>
      <protection hidden="1"/>
    </xf>
    <xf numFmtId="0" fontId="13" fillId="0" borderId="0" xfId="52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52" applyAlignment="1" applyProtection="1">
      <alignment/>
      <protection/>
    </xf>
    <xf numFmtId="0" fontId="2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10" fontId="2" fillId="35" borderId="14" xfId="0" applyNumberFormat="1" applyFont="1" applyFill="1" applyBorder="1" applyAlignment="1">
      <alignment horizontal="left" vertical="center"/>
    </xf>
    <xf numFmtId="6" fontId="4" fillId="0" borderId="10" xfId="0" applyNumberFormat="1" applyFont="1" applyBorder="1" applyAlignment="1">
      <alignment horizontal="right"/>
    </xf>
    <xf numFmtId="6" fontId="4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8" fillId="35" borderId="17" xfId="0" applyFont="1" applyFill="1" applyBorder="1" applyAlignment="1">
      <alignment wrapText="1"/>
    </xf>
    <xf numFmtId="0" fontId="2" fillId="32" borderId="18" xfId="0" applyFont="1" applyFill="1" applyBorder="1" applyAlignment="1" applyProtection="1">
      <alignment horizontal="left"/>
      <protection hidden="1"/>
    </xf>
    <xf numFmtId="0" fontId="2" fillId="35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32" borderId="18" xfId="0" applyNumberFormat="1" applyFont="1" applyFill="1" applyBorder="1" applyAlignment="1">
      <alignment horizontal="center" wrapText="1"/>
    </xf>
    <xf numFmtId="0" fontId="16" fillId="32" borderId="18" xfId="0" applyFont="1" applyFill="1" applyBorder="1" applyAlignment="1">
      <alignment vertical="center"/>
    </xf>
    <xf numFmtId="6" fontId="2" fillId="36" borderId="18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3" fillId="0" borderId="0" xfId="52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8" fillId="0" borderId="19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6" fillId="32" borderId="17" xfId="0" applyFont="1" applyFill="1" applyBorder="1" applyAlignment="1">
      <alignment/>
    </xf>
    <xf numFmtId="0" fontId="0" fillId="32" borderId="20" xfId="0" applyFill="1" applyBorder="1" applyAlignment="1">
      <alignment/>
    </xf>
    <xf numFmtId="166" fontId="2" fillId="0" borderId="0" xfId="0" applyNumberFormat="1" applyFont="1" applyAlignment="1">
      <alignment/>
    </xf>
    <xf numFmtId="10" fontId="58" fillId="0" borderId="21" xfId="0" applyNumberFormat="1" applyFont="1" applyBorder="1" applyAlignment="1">
      <alignment horizontal="center" wrapText="1"/>
    </xf>
    <xf numFmtId="10" fontId="58" fillId="37" borderId="21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/>
    </xf>
    <xf numFmtId="6" fontId="4" fillId="0" borderId="11" xfId="0" applyNumberFormat="1" applyFont="1" applyBorder="1" applyAlignment="1" applyProtection="1">
      <alignment horizontal="right"/>
      <protection hidden="1"/>
    </xf>
    <xf numFmtId="6" fontId="4" fillId="0" borderId="11" xfId="0" applyNumberFormat="1" applyFont="1" applyFill="1" applyBorder="1" applyAlignment="1" applyProtection="1">
      <alignment horizontal="right"/>
      <protection hidden="1"/>
    </xf>
    <xf numFmtId="10" fontId="58" fillId="0" borderId="22" xfId="0" applyNumberFormat="1" applyFont="1" applyBorder="1" applyAlignment="1">
      <alignment horizontal="center" wrapText="1"/>
    </xf>
    <xf numFmtId="10" fontId="58" fillId="37" borderId="2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8" fillId="35" borderId="25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 wrapText="1"/>
    </xf>
    <xf numFmtId="0" fontId="20" fillId="35" borderId="2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2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14.7109375" style="0" customWidth="1"/>
    <col min="3" max="3" width="2.7109375" style="0" customWidth="1"/>
    <col min="4" max="4" width="18.7109375" style="0" customWidth="1"/>
    <col min="5" max="5" width="2.7109375" style="0" customWidth="1"/>
    <col min="6" max="6" width="97.7109375" style="0" customWidth="1"/>
    <col min="7" max="7" width="2.7109375" style="0" customWidth="1"/>
    <col min="8" max="14" width="8.8515625" style="0" customWidth="1"/>
    <col min="15" max="15" width="15.28125" style="0" customWidth="1"/>
  </cols>
  <sheetData>
    <row r="5" spans="1:8" ht="13.5" thickBot="1">
      <c r="A5" s="53" t="s">
        <v>107</v>
      </c>
      <c r="H5" s="53" t="s">
        <v>168</v>
      </c>
    </row>
    <row r="6" spans="1:17" ht="45.75" customHeight="1" thickBot="1">
      <c r="A6" s="39"/>
      <c r="B6" s="40">
        <v>2018</v>
      </c>
      <c r="D6" s="65" t="s">
        <v>182</v>
      </c>
      <c r="F6" s="66" t="s">
        <v>183</v>
      </c>
      <c r="G6" s="67"/>
      <c r="H6" s="69">
        <v>0.014</v>
      </c>
      <c r="I6" s="68"/>
      <c r="J6" s="68"/>
      <c r="K6" s="68"/>
      <c r="L6" s="68"/>
      <c r="M6" s="68"/>
      <c r="N6" s="68"/>
      <c r="O6" s="68"/>
      <c r="P6" s="68"/>
      <c r="Q6" s="68"/>
    </row>
    <row r="7" spans="1:4" ht="15" thickBot="1">
      <c r="A7" s="39" t="s">
        <v>115</v>
      </c>
      <c r="B7" s="83">
        <v>0.2802</v>
      </c>
      <c r="C7" s="62"/>
      <c r="D7" s="71">
        <v>189600</v>
      </c>
    </row>
    <row r="8" spans="1:3" ht="15" thickBot="1">
      <c r="A8" s="39" t="s">
        <v>155</v>
      </c>
      <c r="B8" s="84">
        <v>0.165</v>
      </c>
      <c r="C8" s="62"/>
    </row>
    <row r="9" spans="1:3" ht="15" thickBot="1">
      <c r="A9" s="39" t="s">
        <v>156</v>
      </c>
      <c r="B9" s="83">
        <v>0.1576</v>
      </c>
      <c r="C9" s="62"/>
    </row>
    <row r="10" spans="1:3" ht="15" thickBot="1">
      <c r="A10" s="39" t="s">
        <v>118</v>
      </c>
      <c r="B10" s="84">
        <v>0.2116</v>
      </c>
      <c r="C10" s="39"/>
    </row>
    <row r="11" spans="1:3" ht="15" thickBot="1">
      <c r="A11" s="39" t="s">
        <v>157</v>
      </c>
      <c r="B11" s="83">
        <v>0.1671</v>
      </c>
      <c r="C11" s="39"/>
    </row>
    <row r="12" spans="1:6" ht="16.5" thickBot="1">
      <c r="A12" s="39" t="s">
        <v>119</v>
      </c>
      <c r="B12" s="84">
        <v>0.2748</v>
      </c>
      <c r="C12" s="39"/>
      <c r="F12" s="70" t="s">
        <v>184</v>
      </c>
    </row>
    <row r="13" spans="1:3" ht="15" thickBot="1">
      <c r="A13" s="39" t="s">
        <v>103</v>
      </c>
      <c r="B13" s="83">
        <v>0.1918</v>
      </c>
      <c r="C13" s="39"/>
    </row>
    <row r="14" spans="1:3" ht="15" thickBot="1">
      <c r="A14" s="39" t="s">
        <v>158</v>
      </c>
      <c r="B14" s="84">
        <v>0.1621</v>
      </c>
      <c r="C14" s="39"/>
    </row>
    <row r="15" spans="1:3" ht="15" thickBot="1">
      <c r="A15" s="39" t="s">
        <v>120</v>
      </c>
      <c r="B15" s="83">
        <v>0.2747</v>
      </c>
      <c r="C15" s="39"/>
    </row>
    <row r="16" spans="1:3" ht="15" thickBot="1">
      <c r="A16" s="39" t="s">
        <v>121</v>
      </c>
      <c r="B16" s="84">
        <v>0.1987</v>
      </c>
      <c r="C16" s="39"/>
    </row>
    <row r="17" spans="1:3" ht="15" thickBot="1">
      <c r="A17" s="39" t="s">
        <v>122</v>
      </c>
      <c r="B17" s="83">
        <v>0.2008</v>
      </c>
      <c r="C17" s="39"/>
    </row>
    <row r="18" spans="1:3" ht="15" thickBot="1">
      <c r="A18" s="39" t="s">
        <v>159</v>
      </c>
      <c r="B18" s="84">
        <v>0.1659</v>
      </c>
      <c r="C18" s="39"/>
    </row>
    <row r="19" spans="1:3" ht="15" thickBot="1">
      <c r="A19" s="39" t="s">
        <v>137</v>
      </c>
      <c r="B19" s="83">
        <v>0.1897</v>
      </c>
      <c r="C19" s="39"/>
    </row>
    <row r="20" spans="1:3" ht="15" thickBot="1">
      <c r="A20" s="39" t="s">
        <v>123</v>
      </c>
      <c r="B20" s="84">
        <v>0.234</v>
      </c>
      <c r="C20" s="39"/>
    </row>
    <row r="21" spans="1:4" ht="15" thickBot="1">
      <c r="A21" s="39" t="s">
        <v>160</v>
      </c>
      <c r="B21" s="83">
        <v>0.1608</v>
      </c>
      <c r="C21" s="39"/>
      <c r="D21" s="42"/>
    </row>
    <row r="22" spans="1:3" ht="15" thickBot="1">
      <c r="A22" s="39" t="s">
        <v>124</v>
      </c>
      <c r="B22" s="84">
        <v>0.1811</v>
      </c>
      <c r="C22" s="39"/>
    </row>
    <row r="23" spans="1:3" ht="15" thickBot="1">
      <c r="A23" s="39" t="s">
        <v>125</v>
      </c>
      <c r="B23" s="83">
        <v>0.2547</v>
      </c>
      <c r="C23" s="39"/>
    </row>
    <row r="24" spans="1:3" ht="15" thickBot="1">
      <c r="A24" s="39" t="s">
        <v>126</v>
      </c>
      <c r="B24" s="84">
        <v>0.2625</v>
      </c>
      <c r="C24" s="39"/>
    </row>
    <row r="25" spans="1:3" ht="15" thickBot="1">
      <c r="A25" s="39" t="s">
        <v>161</v>
      </c>
      <c r="B25" s="83">
        <v>0.1615</v>
      </c>
      <c r="C25" s="39"/>
    </row>
    <row r="26" spans="1:3" ht="15" thickBot="1">
      <c r="A26" s="39" t="s">
        <v>108</v>
      </c>
      <c r="B26" s="84">
        <v>0.2821</v>
      </c>
      <c r="C26" s="39"/>
    </row>
    <row r="27" spans="1:3" ht="15" thickBot="1">
      <c r="A27" s="39" t="s">
        <v>116</v>
      </c>
      <c r="B27" s="83">
        <v>0.1843</v>
      </c>
      <c r="C27" s="63"/>
    </row>
    <row r="28" spans="1:3" ht="15" thickBot="1">
      <c r="A28" s="39" t="s">
        <v>127</v>
      </c>
      <c r="B28" s="84">
        <v>0.3174</v>
      </c>
      <c r="C28" s="39"/>
    </row>
    <row r="29" spans="1:3" ht="15" thickBot="1">
      <c r="A29" s="39" t="s">
        <v>128</v>
      </c>
      <c r="B29" s="83">
        <v>0.1849</v>
      </c>
      <c r="C29" s="39"/>
    </row>
    <row r="30" spans="1:3" ht="15" thickBot="1">
      <c r="A30" s="39" t="s">
        <v>129</v>
      </c>
      <c r="B30" s="84">
        <v>0.1623</v>
      </c>
      <c r="C30" s="39"/>
    </row>
    <row r="31" spans="1:3" ht="15" thickBot="1">
      <c r="A31" s="39" t="s">
        <v>163</v>
      </c>
      <c r="B31" s="83">
        <v>0.161</v>
      </c>
      <c r="C31" s="39"/>
    </row>
    <row r="32" spans="1:3" ht="15" thickBot="1">
      <c r="A32" s="39" t="s">
        <v>162</v>
      </c>
      <c r="B32" s="84">
        <v>0.174</v>
      </c>
      <c r="C32" s="39"/>
    </row>
    <row r="33" spans="1:3" ht="15" thickBot="1">
      <c r="A33" s="39" t="s">
        <v>164</v>
      </c>
      <c r="B33" s="83">
        <v>0.1649</v>
      </c>
      <c r="C33" s="39"/>
    </row>
    <row r="34" spans="1:3" ht="15" thickBot="1">
      <c r="A34" s="39" t="s">
        <v>109</v>
      </c>
      <c r="B34" s="84">
        <v>0.3057</v>
      </c>
      <c r="C34" s="39"/>
    </row>
    <row r="35" spans="1:3" ht="15" thickBot="1">
      <c r="A35" s="39" t="s">
        <v>130</v>
      </c>
      <c r="B35" s="83">
        <v>0.2264</v>
      </c>
      <c r="C35" s="39"/>
    </row>
    <row r="36" spans="1:3" ht="15" thickBot="1">
      <c r="A36" s="39" t="s">
        <v>131</v>
      </c>
      <c r="B36" s="84">
        <v>0.2014</v>
      </c>
      <c r="C36" s="39"/>
    </row>
    <row r="37" spans="1:3" ht="15" thickBot="1">
      <c r="A37" s="39" t="s">
        <v>132</v>
      </c>
      <c r="B37" s="83">
        <v>0.2337</v>
      </c>
      <c r="C37" s="39"/>
    </row>
    <row r="38" spans="1:3" ht="15" thickBot="1">
      <c r="A38" s="39" t="s">
        <v>133</v>
      </c>
      <c r="B38" s="84">
        <v>0.3213</v>
      </c>
      <c r="C38" s="39"/>
    </row>
    <row r="39" spans="1:3" ht="15" thickBot="1">
      <c r="A39" s="39" t="s">
        <v>165</v>
      </c>
      <c r="B39" s="83">
        <v>0.1593</v>
      </c>
      <c r="C39" s="39"/>
    </row>
    <row r="40" spans="1:3" ht="15" thickBot="1">
      <c r="A40" s="39" t="s">
        <v>134</v>
      </c>
      <c r="B40" s="84">
        <v>0.2459</v>
      </c>
      <c r="C40" s="39"/>
    </row>
    <row r="41" spans="1:3" ht="15" thickBot="1">
      <c r="A41" s="39" t="s">
        <v>110</v>
      </c>
      <c r="B41" s="88">
        <v>0.1909</v>
      </c>
      <c r="C41" s="39"/>
    </row>
    <row r="42" spans="1:3" ht="15" thickBot="1">
      <c r="A42" s="39" t="s">
        <v>135</v>
      </c>
      <c r="B42" s="89">
        <v>0.1835</v>
      </c>
      <c r="C42" s="39"/>
    </row>
    <row r="43" spans="1:10" ht="15" thickBot="1">
      <c r="A43" s="39" t="s">
        <v>136</v>
      </c>
      <c r="B43" s="88">
        <v>0.2253</v>
      </c>
      <c r="C43" s="39"/>
      <c r="D43" s="49"/>
      <c r="E43" s="49"/>
      <c r="F43" s="49"/>
      <c r="G43" s="49"/>
      <c r="H43" s="49"/>
      <c r="J43" s="49"/>
    </row>
    <row r="44" spans="1:10" ht="16.5" thickBot="1">
      <c r="A44" s="39" t="s">
        <v>111</v>
      </c>
      <c r="B44" s="89">
        <v>0.1952</v>
      </c>
      <c r="C44" s="39"/>
      <c r="D44" s="58"/>
      <c r="E44" s="58"/>
      <c r="F44" s="58"/>
      <c r="G44" s="58"/>
      <c r="H44" s="58"/>
      <c r="J44" s="58"/>
    </row>
    <row r="45" spans="1:10" ht="15" thickBot="1">
      <c r="A45" s="39" t="s">
        <v>138</v>
      </c>
      <c r="B45" s="88">
        <v>0.1879</v>
      </c>
      <c r="C45" s="39"/>
      <c r="D45" s="37"/>
      <c r="E45" s="37"/>
      <c r="F45" s="37"/>
      <c r="G45" s="37"/>
      <c r="H45" s="37"/>
      <c r="J45" s="37"/>
    </row>
    <row r="46" spans="1:10" ht="16.5" thickBot="1">
      <c r="A46" s="39" t="s">
        <v>139</v>
      </c>
      <c r="B46" s="89">
        <v>0.2486</v>
      </c>
      <c r="C46" s="39"/>
      <c r="D46" s="58"/>
      <c r="E46" s="58"/>
      <c r="F46" s="58"/>
      <c r="G46" s="58"/>
      <c r="H46" s="58"/>
      <c r="J46" s="58"/>
    </row>
    <row r="47" spans="1:10" ht="15" thickBot="1">
      <c r="A47" s="39" t="s">
        <v>140</v>
      </c>
      <c r="B47" s="88">
        <v>0.2788</v>
      </c>
      <c r="C47" s="39"/>
      <c r="D47" s="37"/>
      <c r="E47" s="37"/>
      <c r="F47" s="37"/>
      <c r="G47" s="37"/>
      <c r="H47" s="37"/>
      <c r="J47" s="37"/>
    </row>
    <row r="48" spans="1:3" ht="15" thickBot="1">
      <c r="A48" s="39" t="s">
        <v>141</v>
      </c>
      <c r="B48" s="89">
        <v>0.3928</v>
      </c>
      <c r="C48" s="39"/>
    </row>
    <row r="49" spans="1:3" ht="15" thickBot="1">
      <c r="A49" s="39" t="s">
        <v>142</v>
      </c>
      <c r="B49" s="88">
        <v>0.2511</v>
      </c>
      <c r="C49" s="39"/>
    </row>
    <row r="50" spans="1:3" ht="15" thickBot="1">
      <c r="A50" s="39" t="s">
        <v>166</v>
      </c>
      <c r="B50" s="89">
        <v>0.1647</v>
      </c>
      <c r="C50" s="39"/>
    </row>
    <row r="51" spans="1:3" ht="15" thickBot="1">
      <c r="A51" s="39" t="s">
        <v>167</v>
      </c>
      <c r="B51" s="88">
        <v>0.1617</v>
      </c>
      <c r="C51" s="39"/>
    </row>
    <row r="52" spans="1:3" ht="15" thickBot="1">
      <c r="A52" s="39" t="s">
        <v>112</v>
      </c>
      <c r="B52" s="84">
        <v>0.2822</v>
      </c>
      <c r="C52" s="39"/>
    </row>
    <row r="53" spans="1:3" ht="15" thickBot="1">
      <c r="A53" s="39" t="s">
        <v>113</v>
      </c>
      <c r="B53" s="83">
        <v>0.1537</v>
      </c>
      <c r="C53" s="39"/>
    </row>
    <row r="54" spans="1:3" ht="15" thickBot="1">
      <c r="A54" s="39" t="s">
        <v>114</v>
      </c>
      <c r="B54" s="84">
        <v>0.1881</v>
      </c>
      <c r="C54" s="39"/>
    </row>
    <row r="56" ht="30.75" customHeight="1"/>
  </sheetData>
  <sheetProtection sheet="1" objects="1" scenarios="1"/>
  <conditionalFormatting sqref="F12">
    <cfRule type="cellIs" priority="1" dxfId="0" operator="greaterThan" stopIfTrue="1">
      <formula>165200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103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0.1918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22116.2326</v>
      </c>
      <c r="C10" s="8">
        <f>IF(C8*(1+$K$6)&lt;'Locality and Max Pay'!$D$7,C8*(1+$K$6),'Locality and Max Pay'!$D$7)</f>
        <v>25275.6944</v>
      </c>
      <c r="D10" s="8">
        <f>IF(D8*(1+$K$6)&lt;'Locality and Max Pay'!$D$7,D8*(1+$K$6),'Locality and Max Pay'!$D$7)</f>
        <v>28561.487</v>
      </c>
      <c r="E10" s="8">
        <f>IF(E8*(1+$K$6)&lt;'Locality and Max Pay'!$D$7,E8*(1+$K$6),'Locality and Max Pay'!$D$7)</f>
        <v>33615.9108</v>
      </c>
      <c r="F10" s="8">
        <f>IF(F8*(1+$K$6)&lt;'Locality and Max Pay'!$D$7,F8*(1+$K$6),'Locality and Max Pay'!$D$7)</f>
        <v>41033.674</v>
      </c>
      <c r="G10" s="8">
        <f>IF(G8*(1+$K$6)&lt;'Locality and Max Pay'!$D$7,G8*(1+$K$6),'Locality and Max Pay'!$D$7)</f>
        <v>45321.7704</v>
      </c>
      <c r="H10" s="8">
        <f>IF(H8*(1+$K$6)&lt;'Locality and Max Pay'!$D$7,H8*(1+$K$6),'Locality and Max Pay'!$D$7)</f>
        <v>53063.703199999996</v>
      </c>
      <c r="I10" s="8">
        <f>IF(I8*(1+$K$6)&lt;'Locality and Max Pay'!$D$7,I8*(1+$K$6),'Locality and Max Pay'!$D$7)</f>
        <v>63749.382</v>
      </c>
      <c r="J10" s="8">
        <f>IF(J8*(1+$K$6)&lt;'Locality and Max Pay'!$D$7,J8*(1+$K$6),'Locality and Max Pay'!$D$7)</f>
        <v>76679.2202</v>
      </c>
      <c r="K10" s="8">
        <f>IF(K8*(1+$K$6)&lt;'Locality and Max Pay'!$D$7,K8*(1+$K$6),'Locality and Max Pay'!$D$7)</f>
        <v>93746.988</v>
      </c>
      <c r="L10" s="8">
        <f>IF(L8*(1+$K$6)&lt;'Locality and Max Pay'!$D$7,L8*(1+$K$6),'Locality and Max Pay'!$D$7)</f>
        <v>111305.77739999999</v>
      </c>
      <c r="M10" s="8">
        <f>IF(M8*(1+$K$6)&lt;'Locality and Max Pay'!$D$7,M8*(1+$K$6),'Locality and Max Pay'!$D$7)</f>
        <v>132950.0572</v>
      </c>
      <c r="N10" s="8">
        <f>IF(N8*(1+$K$6)&lt;'Locality and Max Pay'!$D$7,N8*(1+$K$6),'Locality and Max Pay'!$D$7)</f>
        <v>156582.2594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32101.132999999998</v>
      </c>
      <c r="C11" s="8">
        <f>IF(C9*(1+$K$6)&lt;'Locality and Max Pay'!$D$7,C9*(1+$K$6),'Locality and Max Pay'!$D$7)</f>
        <v>36650.2336</v>
      </c>
      <c r="D11" s="8">
        <f>IF(D9*(1+$K$6)&lt;'Locality and Max Pay'!$D$7,D9*(1+$K$6),'Locality and Max Pay'!$D$7)</f>
        <v>42841.6346</v>
      </c>
      <c r="E11" s="8">
        <f>IF(E9*(1+$K$6)&lt;'Locality and Max Pay'!$D$7,E9*(1+$K$6),'Locality and Max Pay'!$D$7)</f>
        <v>50425.058</v>
      </c>
      <c r="F11" s="8">
        <f>IF(F9*(1+$K$6)&lt;'Locality and Max Pay'!$D$7,F9*(1+$K$6),'Locality and Max Pay'!$D$7)</f>
        <v>61550.511</v>
      </c>
      <c r="G11" s="8">
        <f>IF(G9*(1+$K$6)&lt;'Locality and Max Pay'!$D$7,G9*(1+$K$6),'Locality and Max Pay'!$D$7)</f>
        <v>67983.8474</v>
      </c>
      <c r="H11" s="8">
        <f>IF(H9*(1+$K$6)&lt;'Locality and Max Pay'!$D$7,H9*(1+$K$6),'Locality and Max Pay'!$D$7)</f>
        <v>82254.46059999999</v>
      </c>
      <c r="I11" s="8">
        <f>IF(I9*(1+$K$6)&lt;'Locality and Max Pay'!$D$7,I9*(1+$K$6),'Locality and Max Pay'!$D$7)</f>
        <v>98814.5216</v>
      </c>
      <c r="J11" s="8">
        <f>IF(J9*(1+$K$6)&lt;'Locality and Max Pay'!$D$7,J9*(1+$K$6),'Locality and Max Pay'!$D$7)</f>
        <v>118841.5288</v>
      </c>
      <c r="K11" s="8">
        <f>IF(K9*(1+$K$6)&lt;'Locality and Max Pay'!$D$7,K9*(1+$K$6),'Locality and Max Pay'!$D$7)</f>
        <v>145334.051</v>
      </c>
      <c r="L11" s="8">
        <f>IF(L9*(1+$K$6)&lt;'Locality and Max Pay'!$D$7,L9*(1+$K$6),'Locality and Max Pay'!$D$7)</f>
        <v>172466.5698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83:A86"/>
    <mergeCell ref="A87:N87"/>
    <mergeCell ref="B6:H6"/>
    <mergeCell ref="A13:A14"/>
    <mergeCell ref="A16:A18"/>
    <mergeCell ref="A20:A23"/>
    <mergeCell ref="A25:A28"/>
    <mergeCell ref="A30:A33"/>
    <mergeCell ref="A35:A38"/>
    <mergeCell ref="A40:A43"/>
    <mergeCell ref="A2:N2"/>
    <mergeCell ref="A63:A66"/>
    <mergeCell ref="A68:A71"/>
    <mergeCell ref="A73:A76"/>
    <mergeCell ref="A78:A81"/>
    <mergeCell ref="A45:A48"/>
    <mergeCell ref="A50:A51"/>
    <mergeCell ref="A53:A56"/>
    <mergeCell ref="A58:A61"/>
    <mergeCell ref="A4:N4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158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0.1621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21565.089699999997</v>
      </c>
      <c r="C10" s="8">
        <f>IF(C8*(1+$K$6)&lt;'Locality and Max Pay'!$D$7,C8*(1+$K$6),'Locality and Max Pay'!$D$7)</f>
        <v>24645.816799999997</v>
      </c>
      <c r="D10" s="8">
        <f>IF(D8*(1+$K$6)&lt;'Locality and Max Pay'!$D$7,D8*(1+$K$6),'Locality and Max Pay'!$D$7)</f>
        <v>27849.726499999997</v>
      </c>
      <c r="E10" s="8">
        <f>IF(E8*(1+$K$6)&lt;'Locality and Max Pay'!$D$7,E8*(1+$K$6),'Locality and Max Pay'!$D$7)</f>
        <v>32778.192599999995</v>
      </c>
      <c r="F10" s="8">
        <f>IF(F8*(1+$K$6)&lt;'Locality and Max Pay'!$D$7,F8*(1+$K$6),'Locality and Max Pay'!$D$7)</f>
        <v>40011.102999999996</v>
      </c>
      <c r="G10" s="8">
        <f>IF(G8*(1+$K$6)&lt;'Locality and Max Pay'!$D$7,G8*(1+$K$6),'Locality and Max Pay'!$D$7)</f>
        <v>44192.3388</v>
      </c>
      <c r="H10" s="8">
        <f>IF(H8*(1+$K$6)&lt;'Locality and Max Pay'!$D$7,H8*(1+$K$6),'Locality and Max Pay'!$D$7)</f>
        <v>51741.340399999994</v>
      </c>
      <c r="I10" s="8">
        <f>IF(I8*(1+$K$6)&lt;'Locality and Max Pay'!$D$7,I8*(1+$K$6),'Locality and Max Pay'!$D$7)</f>
        <v>62160.72899999999</v>
      </c>
      <c r="J10" s="8">
        <f>IF(J8*(1+$K$6)&lt;'Locality and Max Pay'!$D$7,J8*(1+$K$6),'Locality and Max Pay'!$D$7)</f>
        <v>74768.3519</v>
      </c>
      <c r="K10" s="8">
        <f>IF(K8*(1+$K$6)&lt;'Locality and Max Pay'!$D$7,K8*(1+$K$6),'Locality and Max Pay'!$D$7)</f>
        <v>91410.786</v>
      </c>
      <c r="L10" s="8">
        <f>IF(L8*(1+$K$6)&lt;'Locality and Max Pay'!$D$7,L8*(1+$K$6),'Locality and Max Pay'!$D$7)</f>
        <v>108532.00529999999</v>
      </c>
      <c r="M10" s="8">
        <f>IF(M8*(1+$K$6)&lt;'Locality and Max Pay'!$D$7,M8*(1+$K$6),'Locality and Max Pay'!$D$7)</f>
        <v>129636.9034</v>
      </c>
      <c r="N10" s="8">
        <f>IF(N8*(1+$K$6)&lt;'Locality and Max Pay'!$D$7,N8*(1+$K$6),'Locality and Max Pay'!$D$7)</f>
        <v>152680.1843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31301.1635</v>
      </c>
      <c r="C11" s="8">
        <f>IF(C9*(1+$K$6)&lt;'Locality and Max Pay'!$D$7,C9*(1+$K$6),'Locality and Max Pay'!$D$7)</f>
        <v>35736.8992</v>
      </c>
      <c r="D11" s="8">
        <f>IF(D9*(1+$K$6)&lt;'Locality and Max Pay'!$D$7,D9*(1+$K$6),'Locality and Max Pay'!$D$7)</f>
        <v>41774.0087</v>
      </c>
      <c r="E11" s="8">
        <f>IF(E9*(1+$K$6)&lt;'Locality and Max Pay'!$D$7,E9*(1+$K$6),'Locality and Max Pay'!$D$7)</f>
        <v>49168.450999999994</v>
      </c>
      <c r="F11" s="8">
        <f>IF(F9*(1+$K$6)&lt;'Locality and Max Pay'!$D$7,F9*(1+$K$6),'Locality and Max Pay'!$D$7)</f>
        <v>60016.6545</v>
      </c>
      <c r="G11" s="8">
        <f>IF(G9*(1+$K$6)&lt;'Locality and Max Pay'!$D$7,G9*(1+$K$6),'Locality and Max Pay'!$D$7)</f>
        <v>66289.6703</v>
      </c>
      <c r="H11" s="8">
        <f>IF(H9*(1+$K$6)&lt;'Locality and Max Pay'!$D$7,H9*(1+$K$6),'Locality and Max Pay'!$D$7)</f>
        <v>80204.65569999999</v>
      </c>
      <c r="I11" s="8">
        <f>IF(I9*(1+$K$6)&lt;'Locality and Max Pay'!$D$7,I9*(1+$K$6),'Locality and Max Pay'!$D$7)</f>
        <v>96352.0352</v>
      </c>
      <c r="J11" s="8">
        <f>IF(J9*(1+$K$6)&lt;'Locality and Max Pay'!$D$7,J9*(1+$K$6),'Locality and Max Pay'!$D$7)</f>
        <v>115879.96359999999</v>
      </c>
      <c r="K11" s="8">
        <f>IF(K9*(1+$K$6)&lt;'Locality and Max Pay'!$D$7,K9*(1+$K$6),'Locality and Max Pay'!$D$7)</f>
        <v>141712.28449999998</v>
      </c>
      <c r="L11" s="8">
        <f>IF(L9*(1+$K$6)&lt;'Locality and Max Pay'!$D$7,L9*(1+$K$6),'Locality and Max Pay'!$D$7)</f>
        <v>168168.6531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120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0.2747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23654.6079</v>
      </c>
      <c r="C10" s="8">
        <f>IF(C8*(1+$K$6)&lt;'Locality and Max Pay'!$D$7,C8*(1+$K$6),'Locality and Max Pay'!$D$7)</f>
        <v>27033.8376</v>
      </c>
      <c r="D10" s="8">
        <f>IF(D8*(1+$K$6)&lt;'Locality and Max Pay'!$D$7,D8*(1+$K$6),'Locality and Max Pay'!$D$7)</f>
        <v>30548.1855</v>
      </c>
      <c r="E10" s="8">
        <f>IF(E8*(1+$K$6)&lt;'Locality and Max Pay'!$D$7,E8*(1+$K$6),'Locality and Max Pay'!$D$7)</f>
        <v>35954.1882</v>
      </c>
      <c r="F10" s="8">
        <f>IF(F8*(1+$K$6)&lt;'Locality and Max Pay'!$D$7,F8*(1+$K$6),'Locality and Max Pay'!$D$7)</f>
        <v>43887.920999999995</v>
      </c>
      <c r="G10" s="8">
        <f>IF(G8*(1+$K$6)&lt;'Locality and Max Pay'!$D$7,G8*(1+$K$6),'Locality and Max Pay'!$D$7)</f>
        <v>48474.2916</v>
      </c>
      <c r="H10" s="8">
        <f>IF(H8*(1+$K$6)&lt;'Locality and Max Pay'!$D$7,H8*(1+$K$6),'Locality and Max Pay'!$D$7)</f>
        <v>56754.7428</v>
      </c>
      <c r="I10" s="8">
        <f>IF(I8*(1+$K$6)&lt;'Locality and Max Pay'!$D$7,I8*(1+$K$6),'Locality and Max Pay'!$D$7)</f>
        <v>68183.703</v>
      </c>
      <c r="J10" s="8">
        <f>IF(J8*(1+$K$6)&lt;'Locality and Max Pay'!$D$7,J8*(1+$K$6),'Locality and Max Pay'!$D$7)</f>
        <v>82012.9233</v>
      </c>
      <c r="K10" s="8">
        <f>IF(K8*(1+$K$6)&lt;'Locality and Max Pay'!$D$7,K8*(1+$K$6),'Locality and Max Pay'!$D$7)</f>
        <v>100267.902</v>
      </c>
      <c r="L10" s="8">
        <f>IF(L8*(1+$K$6)&lt;'Locality and Max Pay'!$D$7,L8*(1+$K$6),'Locality and Max Pay'!$D$7)</f>
        <v>119048.05709999999</v>
      </c>
      <c r="M10" s="8">
        <f>IF(M8*(1+$K$6)&lt;'Locality and Max Pay'!$D$7,M8*(1+$K$6),'Locality and Max Pay'!$D$7)</f>
        <v>142197.88379999998</v>
      </c>
      <c r="N10" s="8">
        <f>IF(N8*(1+$K$6)&lt;'Locality and Max Pay'!$D$7,N8*(1+$K$6),'Locality and Max Pay'!$D$7)</f>
        <v>167473.91009999998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34334.044499999996</v>
      </c>
      <c r="C11" s="8">
        <f>IF(C9*(1+$K$6)&lt;'Locality and Max Pay'!$D$7,C9*(1+$K$6),'Locality and Max Pay'!$D$7)</f>
        <v>39199.5744</v>
      </c>
      <c r="D11" s="8">
        <f>IF(D9*(1+$K$6)&lt;'Locality and Max Pay'!$D$7,D9*(1+$K$6),'Locality and Max Pay'!$D$7)</f>
        <v>45821.6409</v>
      </c>
      <c r="E11" s="8">
        <f>IF(E9*(1+$K$6)&lt;'Locality and Max Pay'!$D$7,E9*(1+$K$6),'Locality and Max Pay'!$D$7)</f>
        <v>53932.557</v>
      </c>
      <c r="F11" s="8">
        <f>IF(F9*(1+$K$6)&lt;'Locality and Max Pay'!$D$7,F9*(1+$K$6),'Locality and Max Pay'!$D$7)</f>
        <v>65831.8815</v>
      </c>
      <c r="G11" s="8">
        <f>IF(G9*(1+$K$6)&lt;'Locality and Max Pay'!$D$7,G9*(1+$K$6),'Locality and Max Pay'!$D$7)</f>
        <v>72712.71209999999</v>
      </c>
      <c r="H11" s="8">
        <f>IF(H9*(1+$K$6)&lt;'Locality and Max Pay'!$D$7,H9*(1+$K$6),'Locality and Max Pay'!$D$7)</f>
        <v>87975.9699</v>
      </c>
      <c r="I11" s="8">
        <f>IF(I9*(1+$K$6)&lt;'Locality and Max Pay'!$D$7,I9*(1+$K$6),'Locality and Max Pay'!$D$7)</f>
        <v>105687.9264</v>
      </c>
      <c r="J11" s="8">
        <f>IF(J9*(1+$K$6)&lt;'Locality and Max Pay'!$D$7,J9*(1+$K$6),'Locality and Max Pay'!$D$7)</f>
        <v>127107.9852</v>
      </c>
      <c r="K11" s="8">
        <f>IF(K9*(1+$K$6)&lt;'Locality and Max Pay'!$D$7,K9*(1+$K$6),'Locality and Max Pay'!$D$7)</f>
        <v>155443.2915</v>
      </c>
      <c r="L11" s="8">
        <f>IF(L9*(1+$K$6)&lt;'Locality and Max Pay'!$D$7,L9*(1+$K$6),'Locality and Max Pay'!$D$7)</f>
        <v>184463.11169999998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53:A56"/>
    <mergeCell ref="A58:A61"/>
    <mergeCell ref="A63:A66"/>
    <mergeCell ref="A87:N87"/>
    <mergeCell ref="A68:A71"/>
    <mergeCell ref="A73:A76"/>
    <mergeCell ref="A78:A81"/>
    <mergeCell ref="A83:A86"/>
    <mergeCell ref="A2:N2"/>
    <mergeCell ref="A50:A51"/>
    <mergeCell ref="A45:A48"/>
    <mergeCell ref="B6:H6"/>
    <mergeCell ref="A25:A28"/>
    <mergeCell ref="A30:A33"/>
    <mergeCell ref="A35:A38"/>
    <mergeCell ref="A40:A43"/>
    <mergeCell ref="A13:A14"/>
    <mergeCell ref="A16:A18"/>
    <mergeCell ref="A20:A23"/>
    <mergeCell ref="A4:N4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3" width="11.421875" style="0" customWidth="1"/>
    <col min="14" max="14" width="11.421875" style="37" customWidth="1"/>
    <col min="15" max="15" width="8.8515625" style="37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121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0.1987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22244.2759</v>
      </c>
      <c r="C10" s="8">
        <f>IF(C8*(1+$K$6)&lt;'Locality and Max Pay'!$D$7,C8*(1+$K$6),'Locality and Max Pay'!$D$7)</f>
        <v>25422.0296</v>
      </c>
      <c r="D10" s="8">
        <f>IF(D8*(1+$K$6)&lt;'Locality and Max Pay'!$D$7,D8*(1+$K$6),'Locality and Max Pay'!$D$7)</f>
        <v>28726.845500000003</v>
      </c>
      <c r="E10" s="8">
        <f>IF(E8*(1+$K$6)&lt;'Locality and Max Pay'!$D$7,E8*(1+$K$6),'Locality and Max Pay'!$D$7)</f>
        <v>33810.5322</v>
      </c>
      <c r="F10" s="8">
        <f>IF(F8*(1+$K$6)&lt;'Locality and Max Pay'!$D$7,F8*(1+$K$6),'Locality and Max Pay'!$D$7)</f>
        <v>41271.241</v>
      </c>
      <c r="G10" s="8">
        <f>IF(G8*(1+$K$6)&lt;'Locality and Max Pay'!$D$7,G8*(1+$K$6),'Locality and Max Pay'!$D$7)</f>
        <v>45584.16360000001</v>
      </c>
      <c r="H10" s="8">
        <f>IF(H8*(1+$K$6)&lt;'Locality and Max Pay'!$D$7,H8*(1+$K$6),'Locality and Max Pay'!$D$7)</f>
        <v>53370.91880000001</v>
      </c>
      <c r="I10" s="8">
        <f>IF(I8*(1+$K$6)&lt;'Locality and Max Pay'!$D$7,I8*(1+$K$6),'Locality and Max Pay'!$D$7)</f>
        <v>64118.463</v>
      </c>
      <c r="J10" s="8">
        <f>IF(J8*(1+$K$6)&lt;'Locality and Max Pay'!$D$7,J8*(1+$K$6),'Locality and Max Pay'!$D$7)</f>
        <v>77123.1593</v>
      </c>
      <c r="K10" s="8">
        <f>IF(K8*(1+$K$6)&lt;'Locality and Max Pay'!$D$7,K8*(1+$K$6),'Locality and Max Pay'!$D$7)</f>
        <v>94289.74200000001</v>
      </c>
      <c r="L10" s="8">
        <f>IF(L8*(1+$K$6)&lt;'Locality and Max Pay'!$D$7,L8*(1+$K$6),'Locality and Max Pay'!$D$7)</f>
        <v>111950.1891</v>
      </c>
      <c r="M10" s="8">
        <f>IF(M8*(1+$K$6)&lt;'Locality and Max Pay'!$D$7,M8*(1+$K$6),'Locality and Max Pay'!$D$7)</f>
        <v>133719.77980000002</v>
      </c>
      <c r="N10" s="8">
        <f>IF(N8*(1+$K$6)&lt;'Locality and Max Pay'!$D$7,N8*(1+$K$6),'Locality and Max Pay'!$D$7)</f>
        <v>157488.8021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32286.984500000002</v>
      </c>
      <c r="C11" s="8">
        <f>IF(C9*(1+$K$6)&lt;'Locality and Max Pay'!$D$7,C9*(1+$K$6),'Locality and Max Pay'!$D$7)</f>
        <v>36862.4224</v>
      </c>
      <c r="D11" s="8">
        <f>IF(D9*(1+$K$6)&lt;'Locality and Max Pay'!$D$7,D9*(1+$K$6),'Locality and Max Pay'!$D$7)</f>
        <v>43089.668900000004</v>
      </c>
      <c r="E11" s="8">
        <f>IF(E9*(1+$K$6)&lt;'Locality and Max Pay'!$D$7,E9*(1+$K$6),'Locality and Max Pay'!$D$7)</f>
        <v>50716.997</v>
      </c>
      <c r="F11" s="8">
        <f>IF(F9*(1+$K$6)&lt;'Locality and Max Pay'!$D$7,F9*(1+$K$6),'Locality and Max Pay'!$D$7)</f>
        <v>61906.861500000006</v>
      </c>
      <c r="G11" s="8">
        <f>IF(G9*(1+$K$6)&lt;'Locality and Max Pay'!$D$7,G9*(1+$K$6),'Locality and Max Pay'!$D$7)</f>
        <v>68377.44410000001</v>
      </c>
      <c r="H11" s="8">
        <f>IF(H9*(1+$K$6)&lt;'Locality and Max Pay'!$D$7,H9*(1+$K$6),'Locality and Max Pay'!$D$7)</f>
        <v>82730.67790000001</v>
      </c>
      <c r="I11" s="8">
        <f>IF(I9*(1+$K$6)&lt;'Locality and Max Pay'!$D$7,I9*(1+$K$6),'Locality and Max Pay'!$D$7)</f>
        <v>99386.6144</v>
      </c>
      <c r="J11" s="8">
        <f>IF(J9*(1+$K$6)&lt;'Locality and Max Pay'!$D$7,J9*(1+$K$6),'Locality and Max Pay'!$D$7)</f>
        <v>119529.56920000001</v>
      </c>
      <c r="K11" s="8">
        <f>IF(K9*(1+$K$6)&lt;'Locality and Max Pay'!$D$7,K9*(1+$K$6),'Locality and Max Pay'!$D$7)</f>
        <v>146175.4715</v>
      </c>
      <c r="L11" s="8">
        <f>IF(L9*(1+$K$6)&lt;'Locality and Max Pay'!$D$7,L9*(1+$K$6),'Locality and Max Pay'!$D$7)</f>
        <v>173465.07570000002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5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  <c r="O12"/>
    </row>
    <row r="13" spans="1:15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  <c r="O13"/>
    </row>
    <row r="14" spans="1:15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  <c r="O14"/>
    </row>
    <row r="15" spans="1:15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/>
    </row>
    <row r="16" spans="1:15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  <c r="O16"/>
    </row>
    <row r="17" spans="1:15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  <c r="O17"/>
    </row>
    <row r="18" spans="1:15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  <c r="O18"/>
    </row>
    <row r="19" spans="1:15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/>
    </row>
    <row r="20" spans="1:15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  <c r="O20"/>
    </row>
    <row r="21" spans="1:15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  <c r="O21"/>
    </row>
    <row r="22" spans="1:15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  <c r="O22"/>
    </row>
    <row r="23" spans="1:15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  <c r="O23"/>
    </row>
    <row r="24" spans="1:15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/>
    </row>
    <row r="25" spans="1:15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  <c r="O25"/>
    </row>
    <row r="26" spans="1:15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  <c r="O26"/>
    </row>
    <row r="27" spans="1:15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  <c r="O27"/>
    </row>
    <row r="28" spans="1:15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  <c r="O28"/>
    </row>
    <row r="29" spans="1:15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spans="1:15" ht="12.75">
      <c r="A88" s="22"/>
      <c r="N88"/>
      <c r="O88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122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0.2008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22283.245600000002</v>
      </c>
      <c r="C10" s="8">
        <f>IF(C8*(1+$K$6)&lt;'Locality and Max Pay'!$D$7,C8*(1+$K$6),'Locality and Max Pay'!$D$7)</f>
        <v>25466.566400000003</v>
      </c>
      <c r="D10" s="8">
        <f>IF(D8*(1+$K$6)&lt;'Locality and Max Pay'!$D$7,D8*(1+$K$6),'Locality and Max Pay'!$D$7)</f>
        <v>28777.172000000002</v>
      </c>
      <c r="E10" s="8">
        <f>IF(E8*(1+$K$6)&lt;'Locality and Max Pay'!$D$7,E8*(1+$K$6),'Locality and Max Pay'!$D$7)</f>
        <v>33869.764800000004</v>
      </c>
      <c r="F10" s="8">
        <f>IF(F8*(1+$K$6)&lt;'Locality and Max Pay'!$D$7,F8*(1+$K$6),'Locality and Max Pay'!$D$7)</f>
        <v>41343.544</v>
      </c>
      <c r="G10" s="8">
        <f>IF(G8*(1+$K$6)&lt;'Locality and Max Pay'!$D$7,G8*(1+$K$6),'Locality and Max Pay'!$D$7)</f>
        <v>45664.0224</v>
      </c>
      <c r="H10" s="8">
        <f>IF(H8*(1+$K$6)&lt;'Locality and Max Pay'!$D$7,H8*(1+$K$6),'Locality and Max Pay'!$D$7)</f>
        <v>53464.419200000004</v>
      </c>
      <c r="I10" s="8">
        <f>IF(I8*(1+$K$6)&lt;'Locality and Max Pay'!$D$7,I8*(1+$K$6),'Locality and Max Pay'!$D$7)</f>
        <v>64230.792</v>
      </c>
      <c r="J10" s="8">
        <f>IF(J8*(1+$K$6)&lt;'Locality and Max Pay'!$D$7,J8*(1+$K$6),'Locality and Max Pay'!$D$7)</f>
        <v>77258.2712</v>
      </c>
      <c r="K10" s="8">
        <f>IF(K8*(1+$K$6)&lt;'Locality and Max Pay'!$D$7,K8*(1+$K$6),'Locality and Max Pay'!$D$7)</f>
        <v>94454.928</v>
      </c>
      <c r="L10" s="8">
        <f>IF(L8*(1+$K$6)&lt;'Locality and Max Pay'!$D$7,L8*(1+$K$6),'Locality and Max Pay'!$D$7)</f>
        <v>112146.3144</v>
      </c>
      <c r="M10" s="8">
        <f>IF(M8*(1+$K$6)&lt;'Locality and Max Pay'!$D$7,M8*(1+$K$6),'Locality and Max Pay'!$D$7)</f>
        <v>133954.04320000001</v>
      </c>
      <c r="N10" s="8">
        <f>IF(N8*(1+$K$6)&lt;'Locality and Max Pay'!$D$7,N8*(1+$K$6),'Locality and Max Pay'!$D$7)</f>
        <v>157764.70640000002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32343.548000000003</v>
      </c>
      <c r="C11" s="8">
        <f>IF(C9*(1+$K$6)&lt;'Locality and Max Pay'!$D$7,C9*(1+$K$6),'Locality and Max Pay'!$D$7)</f>
        <v>36927.0016</v>
      </c>
      <c r="D11" s="8">
        <f>IF(D9*(1+$K$6)&lt;'Locality and Max Pay'!$D$7,D9*(1+$K$6),'Locality and Max Pay'!$D$7)</f>
        <v>43165.157600000006</v>
      </c>
      <c r="E11" s="8">
        <f>IF(E9*(1+$K$6)&lt;'Locality and Max Pay'!$D$7,E9*(1+$K$6),'Locality and Max Pay'!$D$7)</f>
        <v>50805.848000000005</v>
      </c>
      <c r="F11" s="8">
        <f>IF(F9*(1+$K$6)&lt;'Locality and Max Pay'!$D$7,F9*(1+$K$6),'Locality and Max Pay'!$D$7)</f>
        <v>62015.316000000006</v>
      </c>
      <c r="G11" s="8">
        <f>IF(G9*(1+$K$6)&lt;'Locality and Max Pay'!$D$7,G9*(1+$K$6),'Locality and Max Pay'!$D$7)</f>
        <v>68497.2344</v>
      </c>
      <c r="H11" s="8">
        <f>IF(H9*(1+$K$6)&lt;'Locality and Max Pay'!$D$7,H9*(1+$K$6),'Locality and Max Pay'!$D$7)</f>
        <v>82875.61360000001</v>
      </c>
      <c r="I11" s="8">
        <f>IF(I9*(1+$K$6)&lt;'Locality and Max Pay'!$D$7,I9*(1+$K$6),'Locality and Max Pay'!$D$7)</f>
        <v>99560.7296</v>
      </c>
      <c r="J11" s="8">
        <f>IF(J9*(1+$K$6)&lt;'Locality and Max Pay'!$D$7,J9*(1+$K$6),'Locality and Max Pay'!$D$7)</f>
        <v>119738.9728</v>
      </c>
      <c r="K11" s="8">
        <f>IF(K9*(1+$K$6)&lt;'Locality and Max Pay'!$D$7,K9*(1+$K$6),'Locality and Max Pay'!$D$7)</f>
        <v>146431.556</v>
      </c>
      <c r="L11" s="8">
        <f>IF(L9*(1+$K$6)&lt;'Locality and Max Pay'!$D$7,L9*(1+$K$6),'Locality and Max Pay'!$D$7)</f>
        <v>173768.9688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  <row r="204" s="22" customFormat="1" ht="12.75" hidden="1"/>
    <row r="205" s="22" customFormat="1" ht="12.75" hidden="1"/>
    <row r="206" s="22" customFormat="1" ht="12.75" hidden="1"/>
    <row r="207" s="22" customFormat="1" ht="12.75" hidden="1"/>
    <row r="208" s="22" customFormat="1" ht="12.75" hidden="1"/>
    <row r="209" s="22" customFormat="1" ht="12.75" hidden="1"/>
    <row r="210" s="22" customFormat="1" ht="12.75" hidden="1"/>
    <row r="211" s="22" customFormat="1" ht="12.75" hidden="1"/>
    <row r="212" s="22" customFormat="1" ht="12.75" hidden="1"/>
    <row r="213" s="22" customFormat="1" ht="12.75" hidden="1"/>
    <row r="214" s="22" customFormat="1" ht="12.75" hidden="1"/>
    <row r="215" s="22" customFormat="1" ht="12.75" hidden="1"/>
    <row r="216" s="22" customFormat="1" ht="12.75" hidden="1"/>
    <row r="217" s="22" customFormat="1" ht="12.75" hidden="1"/>
    <row r="218" s="22" customFormat="1" ht="12.75" hidden="1"/>
    <row r="219" s="22" customFormat="1" ht="12.75" hidden="1"/>
    <row r="220" s="22" customFormat="1" ht="12.75" hidden="1"/>
    <row r="221" s="22" customFormat="1" ht="12.75" hidden="1"/>
    <row r="222" s="22" customFormat="1" ht="12.75" hidden="1"/>
    <row r="223" s="22" customFormat="1" ht="12.75" hidden="1"/>
    <row r="224" s="22" customFormat="1" ht="12.75" hidden="1"/>
    <row r="225" s="22" customFormat="1" ht="12.75" hidden="1"/>
    <row r="226" s="22" customFormat="1" ht="12.75" hidden="1"/>
    <row r="227" s="22" customFormat="1" ht="12.75" hidden="1"/>
    <row r="228" s="22" customFormat="1" ht="12.75" hidden="1"/>
    <row r="229" s="22" customFormat="1" ht="12.75" hidden="1"/>
    <row r="230" s="22" customFormat="1" ht="12.75" hidden="1"/>
    <row r="231" s="22" customFormat="1" ht="12.75" hidden="1"/>
    <row r="232" s="22" customFormat="1" ht="12.75" hidden="1"/>
    <row r="233" s="22" customFormat="1" ht="12.75" hidden="1"/>
    <row r="234" s="22" customFormat="1" ht="12.75" hidden="1"/>
    <row r="235" s="22" customFormat="1" ht="12.75" hidden="1"/>
    <row r="236" s="22" customFormat="1" ht="12.75" hidden="1"/>
    <row r="237" s="22" customFormat="1" ht="12.75" hidden="1"/>
    <row r="238" s="22" customFormat="1" ht="12.75" hidden="1"/>
    <row r="239" s="22" customFormat="1" ht="12.75" hidden="1"/>
    <row r="240" s="22" customFormat="1" ht="12.75" hidden="1"/>
    <row r="241" s="22" customFormat="1" ht="12.75" hidden="1"/>
    <row r="242" s="22" customFormat="1" ht="12.75" hidden="1"/>
    <row r="243" s="22" customFormat="1" ht="12.75" hidden="1"/>
    <row r="244" s="22" customFormat="1" ht="12.75" hidden="1"/>
    <row r="245" s="22" customFormat="1" ht="12.75" hidden="1"/>
    <row r="246" s="22" customFormat="1" ht="12.75" hidden="1"/>
    <row r="247" s="22" customFormat="1" ht="12.75" hidden="1"/>
    <row r="248" s="22" customFormat="1" ht="12.75" hidden="1"/>
    <row r="249" s="22" customFormat="1" ht="12.75" hidden="1"/>
    <row r="250" s="22" customFormat="1" ht="12.75" hidden="1"/>
    <row r="251" s="22" customFormat="1" ht="12.75" hidden="1"/>
    <row r="252" s="22" customFormat="1" ht="12.75" hidden="1"/>
    <row r="253" s="22" customFormat="1" ht="12.75" hidden="1"/>
    <row r="254" s="22" customFormat="1" ht="12.75" hidden="1"/>
    <row r="255" s="22" customFormat="1" ht="12.75" hidden="1"/>
    <row r="256" s="22" customFormat="1" ht="12.75" hidden="1"/>
    <row r="257" s="22" customFormat="1" ht="12.75" hidden="1"/>
    <row r="258" s="22" customFormat="1" ht="12.75" hidden="1"/>
    <row r="259" s="22" customFormat="1" ht="12.75" hidden="1"/>
    <row r="260" s="22" customFormat="1" ht="12.75" hidden="1"/>
    <row r="261" s="22" customFormat="1" ht="12.75" hidden="1"/>
    <row r="262" s="22" customFormat="1" ht="12.75" hidden="1"/>
    <row r="263" s="22" customFormat="1" ht="12.75" hidden="1"/>
    <row r="264" s="22" customFormat="1" ht="12.75" hidden="1"/>
    <row r="265" s="22" customFormat="1" ht="12.75" hidden="1"/>
    <row r="266" s="22" customFormat="1" ht="12.75" hidden="1"/>
    <row r="267" s="22" customFormat="1" ht="12.75" hidden="1"/>
    <row r="268" s="22" customFormat="1" ht="12.75" hidden="1"/>
    <row r="269" s="22" customFormat="1" ht="12.75" hidden="1"/>
    <row r="270" s="22" customFormat="1" ht="12.75" hidden="1"/>
    <row r="271" s="22" customFormat="1" ht="12.75" hidden="1"/>
    <row r="272" s="22" customFormat="1" ht="12.75" hidden="1"/>
    <row r="273" s="22" customFormat="1" ht="12.75" hidden="1"/>
    <row r="274" s="22" customFormat="1" ht="12.75" hidden="1"/>
    <row r="275" s="22" customFormat="1" ht="12.75" hidden="1"/>
    <row r="276" s="22" customFormat="1" ht="12.75" hidden="1"/>
    <row r="277" s="22" customFormat="1" ht="12.75" hidden="1"/>
    <row r="278" s="22" customFormat="1" ht="12.75" hidden="1"/>
    <row r="279" s="22" customFormat="1" ht="12.75" hidden="1"/>
    <row r="280" s="22" customFormat="1" ht="12.75" hidden="1"/>
    <row r="281" s="22" customFormat="1" ht="12.75" hidden="1"/>
    <row r="282" s="22" customFormat="1" ht="12.75" hidden="1"/>
    <row r="283" s="22" customFormat="1" ht="12.75" hidden="1"/>
    <row r="284" s="22" customFormat="1" ht="12.75" hidden="1"/>
    <row r="285" s="22" customFormat="1" ht="12.75" hidden="1"/>
    <row r="286" s="22" customFormat="1" ht="12.75" hidden="1"/>
    <row r="287" s="22" customFormat="1" ht="12.75" hidden="1"/>
    <row r="288" s="22" customFormat="1" ht="12.75" hidden="1"/>
    <row r="289" s="22" customFormat="1" ht="12.75" hidden="1"/>
    <row r="290" s="22" customFormat="1" ht="12.75" hidden="1"/>
    <row r="291" s="22" customFormat="1" ht="12.75" hidden="1"/>
    <row r="292" s="22" customFormat="1" ht="12.75" hidden="1"/>
    <row r="293" s="22" customFormat="1" ht="12.75" hidden="1"/>
    <row r="294" s="22" customFormat="1" ht="12.75" hidden="1"/>
    <row r="295" s="22" customFormat="1" ht="12.75" hidden="1"/>
    <row r="296" s="22" customFormat="1" ht="12.75" hidden="1"/>
    <row r="297" s="22" customFormat="1" ht="12.75" hidden="1"/>
    <row r="298" s="22" customFormat="1" ht="12.75" hidden="1"/>
    <row r="299" s="22" customFormat="1" ht="12.75" hidden="1"/>
    <row r="300" s="22" customFormat="1" ht="12.75" hidden="1"/>
    <row r="301" s="22" customFormat="1" ht="12.75" hidden="1"/>
    <row r="302" s="22" customFormat="1" ht="12.75" hidden="1"/>
    <row r="303" s="22" customFormat="1" ht="12.75" hidden="1"/>
    <row r="304" s="22" customFormat="1" ht="12.75" hidden="1"/>
    <row r="305" s="22" customFormat="1" ht="12.75" hidden="1"/>
    <row r="306" s="22" customFormat="1" ht="12.75" hidden="1"/>
    <row r="307" s="22" customFormat="1" ht="12.75" hidden="1"/>
    <row r="308" s="22" customFormat="1" ht="12.75" hidden="1"/>
    <row r="309" s="22" customFormat="1" ht="12.75" hidden="1"/>
    <row r="310" s="22" customFormat="1" ht="12.75" hidden="1"/>
    <row r="311" s="22" customFormat="1" ht="12.75" hidden="1"/>
    <row r="312" s="22" customFormat="1" ht="12.75" hidden="1"/>
    <row r="313" s="22" customFormat="1" ht="12.75" hidden="1"/>
    <row r="314" s="22" customFormat="1" ht="12.75" hidden="1"/>
    <row r="315" s="22" customFormat="1" ht="12.75" hidden="1"/>
    <row r="316" s="22" customFormat="1" ht="12.75" hidden="1"/>
    <row r="317" s="22" customFormat="1" ht="12.75" hidden="1"/>
    <row r="318" s="22" customFormat="1" ht="12.75" hidden="1"/>
    <row r="319" s="22" customFormat="1" ht="12.75" hidden="1"/>
    <row r="320" s="22" customFormat="1" ht="12.75" hidden="1"/>
    <row r="321" s="22" customFormat="1" ht="12.75" hidden="1"/>
    <row r="322" s="22" customFormat="1" ht="12.75" hidden="1"/>
    <row r="323" s="22" customFormat="1" ht="12.75" hidden="1"/>
    <row r="324" s="22" customFormat="1" ht="12.75" hidden="1"/>
    <row r="325" s="22" customFormat="1" ht="12.75" hidden="1"/>
    <row r="326" s="22" customFormat="1" ht="12.75" hidden="1"/>
    <row r="327" s="22" customFormat="1" ht="12.75" hidden="1"/>
    <row r="328" s="22" customFormat="1" ht="12.75" hidden="1"/>
    <row r="329" s="22" customFormat="1" ht="12.75" hidden="1"/>
    <row r="330" s="22" customFormat="1" ht="12.75" hidden="1"/>
    <row r="331" s="22" customFormat="1" ht="12.75" hidden="1"/>
    <row r="332" s="22" customFormat="1" ht="12.75" hidden="1"/>
    <row r="333" s="22" customFormat="1" ht="12.75" hidden="1"/>
    <row r="334" s="22" customFormat="1" ht="12.75" hidden="1"/>
    <row r="335" s="22" customFormat="1" ht="12.75" hidden="1"/>
    <row r="336" s="22" customFormat="1" ht="12.75" hidden="1"/>
    <row r="337" s="22" customFormat="1" ht="12.75" hidden="1"/>
    <row r="338" s="22" customFormat="1" ht="12.75" hidden="1"/>
    <row r="339" s="22" customFormat="1" ht="12.75" hidden="1"/>
    <row r="340" s="22" customFormat="1" ht="12.75" hidden="1"/>
    <row r="341" s="22" customFormat="1" ht="12.75" hidden="1"/>
    <row r="342" s="22" customFormat="1" ht="12.75" hidden="1"/>
    <row r="343" ht="12.75"/>
    <row r="344" ht="12.75"/>
    <row r="345" ht="12.75"/>
    <row r="346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159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0.1659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21635.6063</v>
      </c>
      <c r="C10" s="8">
        <f>IF(C8*(1+$K$6)&lt;'Locality and Max Pay'!$D$7,C8*(1+$K$6),'Locality and Max Pay'!$D$7)</f>
        <v>24726.407199999998</v>
      </c>
      <c r="D10" s="8">
        <f>IF(D8*(1+$K$6)&lt;'Locality and Max Pay'!$D$7,D8*(1+$K$6),'Locality and Max Pay'!$D$7)</f>
        <v>27940.7935</v>
      </c>
      <c r="E10" s="8">
        <f>IF(E8*(1+$K$6)&lt;'Locality and Max Pay'!$D$7,E8*(1+$K$6),'Locality and Max Pay'!$D$7)</f>
        <v>32885.3754</v>
      </c>
      <c r="F10" s="8">
        <f>IF(F8*(1+$K$6)&lt;'Locality and Max Pay'!$D$7,F8*(1+$K$6),'Locality and Max Pay'!$D$7)</f>
        <v>40141.937</v>
      </c>
      <c r="G10" s="8">
        <f>IF(G8*(1+$K$6)&lt;'Locality and Max Pay'!$D$7,G8*(1+$K$6),'Locality and Max Pay'!$D$7)</f>
        <v>44336.845199999996</v>
      </c>
      <c r="H10" s="8">
        <f>IF(H8*(1+$K$6)&lt;'Locality and Max Pay'!$D$7,H8*(1+$K$6),'Locality and Max Pay'!$D$7)</f>
        <v>51910.531599999995</v>
      </c>
      <c r="I10" s="8">
        <f>IF(I8*(1+$K$6)&lt;'Locality and Max Pay'!$D$7,I8*(1+$K$6),'Locality and Max Pay'!$D$7)</f>
        <v>62363.990999999995</v>
      </c>
      <c r="J10" s="8">
        <f>IF(J8*(1+$K$6)&lt;'Locality and Max Pay'!$D$7,J8*(1+$K$6),'Locality and Max Pay'!$D$7)</f>
        <v>75012.8401</v>
      </c>
      <c r="K10" s="8">
        <f>IF(K8*(1+$K$6)&lt;'Locality and Max Pay'!$D$7,K8*(1+$K$6),'Locality and Max Pay'!$D$7)</f>
        <v>91709.69399999999</v>
      </c>
      <c r="L10" s="8">
        <f>IF(L8*(1+$K$6)&lt;'Locality and Max Pay'!$D$7,L8*(1+$K$6),'Locality and Max Pay'!$D$7)</f>
        <v>108886.89869999999</v>
      </c>
      <c r="M10" s="8">
        <f>IF(M8*(1+$K$6)&lt;'Locality and Max Pay'!$D$7,M8*(1+$K$6),'Locality and Max Pay'!$D$7)</f>
        <v>130060.80859999999</v>
      </c>
      <c r="N10" s="8">
        <f>IF(N8*(1+$K$6)&lt;'Locality and Max Pay'!$D$7,N8*(1+$K$6),'Locality and Max Pay'!$D$7)</f>
        <v>153179.4397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31403.516499999998</v>
      </c>
      <c r="C11" s="8">
        <f>IF(C9*(1+$K$6)&lt;'Locality and Max Pay'!$D$7,C9*(1+$K$6),'Locality and Max Pay'!$D$7)</f>
        <v>35853.756799999996</v>
      </c>
      <c r="D11" s="8">
        <f>IF(D9*(1+$K$6)&lt;'Locality and Max Pay'!$D$7,D9*(1+$K$6),'Locality and Max Pay'!$D$7)</f>
        <v>41910.607299999996</v>
      </c>
      <c r="E11" s="8">
        <f>IF(E9*(1+$K$6)&lt;'Locality and Max Pay'!$D$7,E9*(1+$K$6),'Locality and Max Pay'!$D$7)</f>
        <v>49329.229</v>
      </c>
      <c r="F11" s="8">
        <f>IF(F9*(1+$K$6)&lt;'Locality and Max Pay'!$D$7,F9*(1+$K$6),'Locality and Max Pay'!$D$7)</f>
        <v>60212.90549999999</v>
      </c>
      <c r="G11" s="8">
        <f>IF(G9*(1+$K$6)&lt;'Locality and Max Pay'!$D$7,G9*(1+$K$6),'Locality and Max Pay'!$D$7)</f>
        <v>66506.4337</v>
      </c>
      <c r="H11" s="8">
        <f>IF(H9*(1+$K$6)&lt;'Locality and Max Pay'!$D$7,H9*(1+$K$6),'Locality and Max Pay'!$D$7)</f>
        <v>80466.9203</v>
      </c>
      <c r="I11" s="8">
        <f>IF(I9*(1+$K$6)&lt;'Locality and Max Pay'!$D$7,I9*(1+$K$6),'Locality and Max Pay'!$D$7)</f>
        <v>96667.1008</v>
      </c>
      <c r="J11" s="8">
        <f>IF(J9*(1+$K$6)&lt;'Locality and Max Pay'!$D$7,J9*(1+$K$6),'Locality and Max Pay'!$D$7)</f>
        <v>116258.8844</v>
      </c>
      <c r="K11" s="8">
        <f>IF(K9*(1+$K$6)&lt;'Locality and Max Pay'!$D$7,K9*(1+$K$6),'Locality and Max Pay'!$D$7)</f>
        <v>142175.67549999998</v>
      </c>
      <c r="L11" s="8">
        <f>IF(L9*(1+$K$6)&lt;'Locality and Max Pay'!$D$7,L9*(1+$K$6),'Locality and Max Pay'!$D$7)</f>
        <v>168718.5549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137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0.1897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22077.262899999998</v>
      </c>
      <c r="C10" s="8">
        <f>IF(C8*(1+$K$6)&lt;'Locality and Max Pay'!$D$7,C8*(1+$K$6),'Locality and Max Pay'!$D$7)</f>
        <v>25231.1576</v>
      </c>
      <c r="D10" s="8">
        <f>IF(D8*(1+$K$6)&lt;'Locality and Max Pay'!$D$7,D8*(1+$K$6),'Locality and Max Pay'!$D$7)</f>
        <v>28511.160499999998</v>
      </c>
      <c r="E10" s="8">
        <f>IF(E8*(1+$K$6)&lt;'Locality and Max Pay'!$D$7,E8*(1+$K$6),'Locality and Max Pay'!$D$7)</f>
        <v>33556.6782</v>
      </c>
      <c r="F10" s="8">
        <f>IF(F8*(1+$K$6)&lt;'Locality and Max Pay'!$D$7,F8*(1+$K$6),'Locality and Max Pay'!$D$7)</f>
        <v>40961.371</v>
      </c>
      <c r="G10" s="8">
        <f>IF(G8*(1+$K$6)&lt;'Locality and Max Pay'!$D$7,G8*(1+$K$6),'Locality and Max Pay'!$D$7)</f>
        <v>45241.9116</v>
      </c>
      <c r="H10" s="8">
        <f>IF(H8*(1+$K$6)&lt;'Locality and Max Pay'!$D$7,H8*(1+$K$6),'Locality and Max Pay'!$D$7)</f>
        <v>52970.2028</v>
      </c>
      <c r="I10" s="8">
        <f>IF(I8*(1+$K$6)&lt;'Locality and Max Pay'!$D$7,I8*(1+$K$6),'Locality and Max Pay'!$D$7)</f>
        <v>63637.053</v>
      </c>
      <c r="J10" s="8">
        <f>IF(J8*(1+$K$6)&lt;'Locality and Max Pay'!$D$7,J8*(1+$K$6),'Locality and Max Pay'!$D$7)</f>
        <v>76544.10829999999</v>
      </c>
      <c r="K10" s="8">
        <f>IF(K8*(1+$K$6)&lt;'Locality and Max Pay'!$D$7,K8*(1+$K$6),'Locality and Max Pay'!$D$7)</f>
        <v>93581.802</v>
      </c>
      <c r="L10" s="8">
        <f>IF(L8*(1+$K$6)&lt;'Locality and Max Pay'!$D$7,L8*(1+$K$6),'Locality and Max Pay'!$D$7)</f>
        <v>111109.65209999999</v>
      </c>
      <c r="M10" s="8">
        <f>IF(M8*(1+$K$6)&lt;'Locality and Max Pay'!$D$7,M8*(1+$K$6),'Locality and Max Pay'!$D$7)</f>
        <v>132715.79379999998</v>
      </c>
      <c r="N10" s="8">
        <f>IF(N8*(1+$K$6)&lt;'Locality and Max Pay'!$D$7,N8*(1+$K$6),'Locality and Max Pay'!$D$7)</f>
        <v>156306.3551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32044.569499999998</v>
      </c>
      <c r="C11" s="8">
        <f>IF(C9*(1+$K$6)&lt;'Locality and Max Pay'!$D$7,C9*(1+$K$6),'Locality and Max Pay'!$D$7)</f>
        <v>36585.6544</v>
      </c>
      <c r="D11" s="8">
        <f>IF(D9*(1+$K$6)&lt;'Locality and Max Pay'!$D$7,D9*(1+$K$6),'Locality and Max Pay'!$D$7)</f>
        <v>42766.145899999996</v>
      </c>
      <c r="E11" s="8">
        <f>IF(E9*(1+$K$6)&lt;'Locality and Max Pay'!$D$7,E9*(1+$K$6),'Locality and Max Pay'!$D$7)</f>
        <v>50336.207</v>
      </c>
      <c r="F11" s="8">
        <f>IF(F9*(1+$K$6)&lt;'Locality and Max Pay'!$D$7,F9*(1+$K$6),'Locality and Max Pay'!$D$7)</f>
        <v>61442.0565</v>
      </c>
      <c r="G11" s="8">
        <f>IF(G9*(1+$K$6)&lt;'Locality and Max Pay'!$D$7,G9*(1+$K$6),'Locality and Max Pay'!$D$7)</f>
        <v>67864.0571</v>
      </c>
      <c r="H11" s="8">
        <f>IF(H9*(1+$K$6)&lt;'Locality and Max Pay'!$D$7,H9*(1+$K$6),'Locality and Max Pay'!$D$7)</f>
        <v>82109.5249</v>
      </c>
      <c r="I11" s="8">
        <f>IF(I9*(1+$K$6)&lt;'Locality and Max Pay'!$D$7,I9*(1+$K$6),'Locality and Max Pay'!$D$7)</f>
        <v>98640.40639999999</v>
      </c>
      <c r="J11" s="8">
        <f>IF(J9*(1+$K$6)&lt;'Locality and Max Pay'!$D$7,J9*(1+$K$6),'Locality and Max Pay'!$D$7)</f>
        <v>118632.1252</v>
      </c>
      <c r="K11" s="8">
        <f>IF(K9*(1+$K$6)&lt;'Locality and Max Pay'!$D$7,K9*(1+$K$6),'Locality and Max Pay'!$D$7)</f>
        <v>145077.9665</v>
      </c>
      <c r="L11" s="8">
        <f>IF(L9*(1+$K$6)&lt;'Locality and Max Pay'!$D$7,L9*(1+$K$6),'Locality and Max Pay'!$D$7)</f>
        <v>172162.6767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  <row r="204" s="22" customFormat="1" ht="12.75" hidden="1"/>
    <row r="205" s="22" customFormat="1" ht="12.75" hidden="1"/>
    <row r="206" s="22" customFormat="1" ht="12.75" hidden="1"/>
    <row r="207" s="22" customFormat="1" ht="12.75" hidden="1"/>
    <row r="208" s="22" customFormat="1" ht="12.75" hidden="1"/>
    <row r="209" s="22" customFormat="1" ht="12.75" hidden="1"/>
    <row r="210" s="22" customFormat="1" ht="12.75" hidden="1"/>
    <row r="211" s="22" customFormat="1" ht="12.75" hidden="1"/>
    <row r="212" s="22" customFormat="1" ht="12.75" hidden="1"/>
    <row r="213" s="22" customFormat="1" ht="12.75" hidden="1"/>
    <row r="214" s="22" customFormat="1" ht="12.75" hidden="1"/>
    <row r="215" s="22" customFormat="1" ht="12.75" hidden="1"/>
    <row r="216" s="22" customFormat="1" ht="12.75" hidden="1"/>
    <row r="217" s="22" customFormat="1" ht="12.75" hidden="1"/>
    <row r="218" s="22" customFormat="1" ht="12.75" hidden="1"/>
    <row r="219" s="22" customFormat="1" ht="12.75" hidden="1"/>
    <row r="220" s="22" customFormat="1" ht="12.75" hidden="1"/>
    <row r="221" s="22" customFormat="1" ht="12.75" hidden="1"/>
    <row r="222" s="22" customFormat="1" ht="12.75" hidden="1"/>
    <row r="223" s="22" customFormat="1" ht="12.75" hidden="1"/>
    <row r="224" s="22" customFormat="1" ht="12.75" hidden="1"/>
    <row r="225" s="22" customFormat="1" ht="12.75" hidden="1"/>
    <row r="226" s="22" customFormat="1" ht="12.75" hidden="1"/>
    <row r="227" s="22" customFormat="1" ht="12.75" hidden="1"/>
    <row r="228" s="22" customFormat="1" ht="12.75" hidden="1"/>
    <row r="229" s="22" customFormat="1" ht="12.75" hidden="1"/>
    <row r="230" s="22" customFormat="1" ht="12.75" hidden="1"/>
    <row r="231" s="22" customFormat="1" ht="12.75" hidden="1"/>
    <row r="232" s="22" customFormat="1" ht="12.75" hidden="1"/>
    <row r="233" s="22" customFormat="1" ht="12.75" hidden="1"/>
    <row r="234" s="22" customFormat="1" ht="12.75" hidden="1"/>
    <row r="235" s="22" customFormat="1" ht="12.75" hidden="1"/>
    <row r="236" s="22" customFormat="1" ht="12.75" hidden="1"/>
    <row r="237" s="22" customFormat="1" ht="12.75" hidden="1"/>
    <row r="238" s="22" customFormat="1" ht="12.75" hidden="1"/>
    <row r="239" s="22" customFormat="1" ht="12.75" hidden="1"/>
    <row r="240" s="22" customFormat="1" ht="12.75" hidden="1"/>
    <row r="241" s="22" customFormat="1" ht="12.75" hidden="1"/>
    <row r="242" s="22" customFormat="1" ht="12.75" hidden="1"/>
    <row r="243" s="22" customFormat="1" ht="12.75" hidden="1"/>
    <row r="244" s="22" customFormat="1" ht="12.75" hidden="1"/>
    <row r="245" s="22" customFormat="1" ht="12.75" hidden="1"/>
    <row r="246" s="22" customFormat="1" ht="12.75" hidden="1"/>
    <row r="247" s="22" customFormat="1" ht="12.75" hidden="1"/>
    <row r="248" s="22" customFormat="1" ht="12.75" hidden="1"/>
    <row r="249" s="22" customFormat="1" ht="12.75" hidden="1"/>
    <row r="250" s="22" customFormat="1" ht="12.75" hidden="1"/>
    <row r="251" s="22" customFormat="1" ht="12.75" hidden="1"/>
    <row r="252" s="22" customFormat="1" ht="12.75" hidden="1"/>
    <row r="253" s="22" customFormat="1" ht="12.75" hidden="1"/>
    <row r="254" s="22" customFormat="1" ht="12.75" hidden="1"/>
    <row r="255" s="22" customFormat="1" ht="12.75" hidden="1"/>
    <row r="256" s="22" customFormat="1" ht="12.75" hidden="1"/>
    <row r="257" s="22" customFormat="1" ht="12.75" hidden="1"/>
    <row r="258" s="22" customFormat="1" ht="12.75" hidden="1"/>
    <row r="259" s="22" customFormat="1" ht="12.75" hidden="1"/>
    <row r="260" s="22" customFormat="1" ht="12.75" hidden="1"/>
    <row r="261" s="22" customFormat="1" ht="12.75" hidden="1"/>
    <row r="262" s="22" customFormat="1" ht="12.75" hidden="1"/>
    <row r="263" s="22" customFormat="1" ht="12.75" hidden="1"/>
    <row r="264" s="22" customFormat="1" ht="12.75" hidden="1"/>
    <row r="265" s="22" customFormat="1" ht="12.75" hidden="1"/>
    <row r="266" s="22" customFormat="1" ht="12.75" hidden="1"/>
    <row r="267" s="22" customFormat="1" ht="12.75" hidden="1"/>
    <row r="268" s="22" customFormat="1" ht="12.75" hidden="1"/>
    <row r="269" s="22" customFormat="1" ht="12.75" hidden="1"/>
    <row r="270" s="22" customFormat="1" ht="12.75" hidden="1"/>
    <row r="271" s="22" customFormat="1" ht="12.75" hidden="1"/>
    <row r="272" s="22" customFormat="1" ht="12.75" hidden="1"/>
    <row r="273" s="22" customFormat="1" ht="12.75" hidden="1"/>
    <row r="274" s="22" customFormat="1" ht="12.75" hidden="1"/>
    <row r="275" s="22" customFormat="1" ht="12.75" hidden="1"/>
    <row r="276" s="22" customFormat="1" ht="12.75" hidden="1"/>
    <row r="277" s="22" customFormat="1" ht="12.75" hidden="1"/>
    <row r="278" s="22" customFormat="1" ht="12.75" hidden="1"/>
    <row r="279" s="22" customFormat="1" ht="12.75" hidden="1"/>
    <row r="280" s="22" customFormat="1" ht="12.75" hidden="1"/>
    <row r="281" s="22" customFormat="1" ht="12.75" hidden="1"/>
    <row r="282" s="22" customFormat="1" ht="12.75" hidden="1"/>
    <row r="283" s="22" customFormat="1" ht="12.75" hidden="1"/>
    <row r="284" s="22" customFormat="1" ht="12.75" hidden="1"/>
    <row r="285" s="22" customFormat="1" ht="12.75" hidden="1"/>
    <row r="286" s="22" customFormat="1" ht="12.75" hidden="1"/>
    <row r="287" s="22" customFormat="1" ht="12.75" hidden="1"/>
    <row r="288" s="22" customFormat="1" ht="12.75" hidden="1"/>
    <row r="289" s="22" customFormat="1" ht="12.75" hidden="1"/>
    <row r="290" s="22" customFormat="1" ht="12.75" hidden="1"/>
    <row r="291" s="22" customFormat="1" ht="12.75" hidden="1"/>
    <row r="292" s="22" customFormat="1" ht="12.75" hidden="1"/>
    <row r="293" s="22" customFormat="1" ht="12.75" hidden="1"/>
    <row r="294" s="22" customFormat="1" ht="12.75" hidden="1"/>
    <row r="295" s="22" customFormat="1" ht="12.75" hidden="1"/>
    <row r="296" s="22" customFormat="1" ht="12.75" hidden="1"/>
    <row r="297" s="22" customFormat="1" ht="12.75" hidden="1"/>
    <row r="298" s="22" customFormat="1" ht="12.75" hidden="1"/>
    <row r="299" s="22" customFormat="1" ht="12.75" hidden="1"/>
    <row r="300" s="22" customFormat="1" ht="12.75" hidden="1"/>
    <row r="301" s="22" customFormat="1" ht="12.75" hidden="1"/>
    <row r="302" s="22" customFormat="1" ht="12.75" hidden="1"/>
    <row r="303" s="22" customFormat="1" ht="12.75" hidden="1"/>
    <row r="304" s="22" customFormat="1" ht="12.75" hidden="1"/>
    <row r="305" s="22" customFormat="1" ht="12.75" hidden="1"/>
    <row r="306" s="22" customFormat="1" ht="12.75" hidden="1"/>
    <row r="307" s="22" customFormat="1" ht="12.75" hidden="1"/>
    <row r="308" s="22" customFormat="1" ht="12.75" hidden="1"/>
    <row r="309" s="22" customFormat="1" ht="12.75" hidden="1"/>
    <row r="310" s="22" customFormat="1" ht="12.75" hidden="1"/>
    <row r="311" s="22" customFormat="1" ht="12.75" hidden="1"/>
    <row r="312" s="22" customFormat="1" ht="12.75" hidden="1"/>
    <row r="313" s="22" customFormat="1" ht="12.75" hidden="1"/>
    <row r="314" s="22" customFormat="1" ht="12.75" hidden="1"/>
    <row r="315" s="22" customFormat="1" ht="12.75" hidden="1"/>
    <row r="316" s="22" customFormat="1" ht="12.75" hidden="1"/>
    <row r="317" s="22" customFormat="1" ht="12.75" hidden="1"/>
    <row r="318" s="22" customFormat="1" ht="12.75" hidden="1"/>
    <row r="319" s="22" customFormat="1" ht="12.75" hidden="1"/>
    <row r="320" s="22" customFormat="1" ht="12.75" hidden="1"/>
    <row r="321" s="22" customFormat="1" ht="12.75" hidden="1"/>
    <row r="322" s="22" customFormat="1" ht="12.75" hidden="1"/>
    <row r="323" s="22" customFormat="1" ht="12.75" hidden="1"/>
    <row r="324" s="22" customFormat="1" ht="12.75" hidden="1"/>
    <row r="325" s="22" customFormat="1" ht="12.75" hidden="1"/>
    <row r="326" s="22" customFormat="1" ht="12.75" hidden="1"/>
    <row r="327" s="22" customFormat="1" ht="12.75" hidden="1"/>
    <row r="328" s="22" customFormat="1" ht="12.75" hidden="1"/>
    <row r="329" s="22" customFormat="1" ht="12.75" hidden="1"/>
    <row r="330" s="22" customFormat="1" ht="12.75" hidden="1"/>
    <row r="331" s="22" customFormat="1" ht="12.75" hidden="1"/>
    <row r="332" s="22" customFormat="1" ht="12.75" hidden="1"/>
    <row r="333" s="22" customFormat="1" ht="12.75" hidden="1"/>
    <row r="334" s="22" customFormat="1" ht="12.75" hidden="1"/>
    <row r="335" s="22" customFormat="1" ht="12.75" hidden="1"/>
    <row r="336" s="22" customFormat="1" ht="12.75" hidden="1"/>
    <row r="337" s="22" customFormat="1" ht="12.75" hidden="1"/>
    <row r="338" s="22" customFormat="1" ht="12.75" hidden="1"/>
    <row r="339" s="22" customFormat="1" ht="12.75" hidden="1"/>
    <row r="340" s="22" customFormat="1" ht="12.75" hidden="1"/>
    <row r="341" s="22" customFormat="1" ht="12.75" hidden="1"/>
    <row r="342" s="22" customFormat="1" ht="12.75" hidden="1"/>
    <row r="343" ht="12.75"/>
    <row r="344" ht="12.75"/>
    <row r="345" ht="12.75"/>
    <row r="346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123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0.234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22899.338</v>
      </c>
      <c r="C10" s="8">
        <f>IF(C8*(1+$K$6)&lt;'Locality and Max Pay'!$D$7,C8*(1+$K$6),'Locality and Max Pay'!$D$7)</f>
        <v>26170.672</v>
      </c>
      <c r="D10" s="8">
        <f>IF(D8*(1+$K$6)&lt;'Locality and Max Pay'!$D$7,D8*(1+$K$6),'Locality and Max Pay'!$D$7)</f>
        <v>29572.81</v>
      </c>
      <c r="E10" s="8">
        <f>IF(E8*(1+$K$6)&lt;'Locality and Max Pay'!$D$7,E8*(1+$K$6),'Locality and Max Pay'!$D$7)</f>
        <v>34806.204</v>
      </c>
      <c r="F10" s="8">
        <f>IF(F8*(1+$K$6)&lt;'Locality and Max Pay'!$D$7,F8*(1+$K$6),'Locality and Max Pay'!$D$7)</f>
        <v>42486.62</v>
      </c>
      <c r="G10" s="8">
        <f>IF(G8*(1+$K$6)&lt;'Locality and Max Pay'!$D$7,G8*(1+$K$6),'Locality and Max Pay'!$D$7)</f>
        <v>46926.551999999996</v>
      </c>
      <c r="H10" s="8">
        <f>IF(H8*(1+$K$6)&lt;'Locality and Max Pay'!$D$7,H8*(1+$K$6),'Locality and Max Pay'!$D$7)</f>
        <v>54942.616</v>
      </c>
      <c r="I10" s="8">
        <f>IF(I8*(1+$K$6)&lt;'Locality and Max Pay'!$D$7,I8*(1+$K$6),'Locality and Max Pay'!$D$7)</f>
        <v>66006.66</v>
      </c>
      <c r="J10" s="8">
        <f>IF(J8*(1+$K$6)&lt;'Locality and Max Pay'!$D$7,J8*(1+$K$6),'Locality and Max Pay'!$D$7)</f>
        <v>79394.326</v>
      </c>
      <c r="K10" s="8">
        <f>IF(K8*(1+$K$6)&lt;'Locality and Max Pay'!$D$7,K8*(1+$K$6),'Locality and Max Pay'!$D$7)</f>
        <v>97066.44</v>
      </c>
      <c r="L10" s="8">
        <f>IF(L8*(1+$K$6)&lt;'Locality and Max Pay'!$D$7,L8*(1+$K$6),'Locality and Max Pay'!$D$7)</f>
        <v>115246.962</v>
      </c>
      <c r="M10" s="8">
        <f>IF(M8*(1+$K$6)&lt;'Locality and Max Pay'!$D$7,M8*(1+$K$6),'Locality and Max Pay'!$D$7)</f>
        <v>137657.636</v>
      </c>
      <c r="N10" s="8">
        <f>IF(N8*(1+$K$6)&lt;'Locality and Max Pay'!$D$7,N8*(1+$K$6),'Locality and Max Pay'!$D$7)</f>
        <v>162126.622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33237.79</v>
      </c>
      <c r="C11" s="8">
        <f>IF(C9*(1+$K$6)&lt;'Locality and Max Pay'!$D$7,C9*(1+$K$6),'Locality and Max Pay'!$D$7)</f>
        <v>37947.968</v>
      </c>
      <c r="D11" s="8">
        <f>IF(D9*(1+$K$6)&lt;'Locality and Max Pay'!$D$7,D9*(1+$K$6),'Locality and Max Pay'!$D$7)</f>
        <v>44358.598</v>
      </c>
      <c r="E11" s="8">
        <f>IF(E9*(1+$K$6)&lt;'Locality and Max Pay'!$D$7,E9*(1+$K$6),'Locality and Max Pay'!$D$7)</f>
        <v>52210.54</v>
      </c>
      <c r="F11" s="8">
        <f>IF(F9*(1+$K$6)&lt;'Locality and Max Pay'!$D$7,F9*(1+$K$6),'Locality and Max Pay'!$D$7)</f>
        <v>63729.93</v>
      </c>
      <c r="G11" s="8">
        <f>IF(G9*(1+$K$6)&lt;'Locality and Max Pay'!$D$7,G9*(1+$K$6),'Locality and Max Pay'!$D$7)</f>
        <v>70391.062</v>
      </c>
      <c r="H11" s="8">
        <f>IF(H9*(1+$K$6)&lt;'Locality and Max Pay'!$D$7,H9*(1+$K$6),'Locality and Max Pay'!$D$7)</f>
        <v>85166.978</v>
      </c>
      <c r="I11" s="8">
        <f>IF(I9*(1+$K$6)&lt;'Locality and Max Pay'!$D$7,I9*(1+$K$6),'Locality and Max Pay'!$D$7)</f>
        <v>102313.408</v>
      </c>
      <c r="J11" s="8">
        <f>IF(J9*(1+$K$6)&lt;'Locality and Max Pay'!$D$7,J9*(1+$K$6),'Locality and Max Pay'!$D$7)</f>
        <v>123049.544</v>
      </c>
      <c r="K11" s="8">
        <f>IF(K9*(1+$K$6)&lt;'Locality and Max Pay'!$D$7,K9*(1+$K$6),'Locality and Max Pay'!$D$7)</f>
        <v>150480.13</v>
      </c>
      <c r="L11" s="8">
        <f>IF(L9*(1+$K$6)&lt;'Locality and Max Pay'!$D$7,L9*(1+$K$6),'Locality and Max Pay'!$D$7)</f>
        <v>178573.374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  <row r="204" s="22" customFormat="1" ht="12.75" hidden="1"/>
    <row r="205" s="22" customFormat="1" ht="12.75" hidden="1"/>
    <row r="206" s="22" customFormat="1" ht="12.75" hidden="1"/>
    <row r="207" s="22" customFormat="1" ht="12.75" hidden="1"/>
    <row r="208" s="22" customFormat="1" ht="12.75" hidden="1"/>
    <row r="209" s="22" customFormat="1" ht="12.75" hidden="1"/>
    <row r="210" s="22" customFormat="1" ht="12.75" hidden="1"/>
    <row r="211" s="22" customFormat="1" ht="12.75" hidden="1"/>
    <row r="212" s="22" customFormat="1" ht="12.75" hidden="1"/>
    <row r="213" s="22" customFormat="1" ht="12.75" hidden="1"/>
    <row r="214" s="22" customFormat="1" ht="12.75" hidden="1"/>
    <row r="215" s="22" customFormat="1" ht="12.75" hidden="1"/>
    <row r="216" s="22" customFormat="1" ht="12.75" hidden="1"/>
    <row r="217" s="22" customFormat="1" ht="12.75" hidden="1"/>
    <row r="218" s="22" customFormat="1" ht="12.75" hidden="1"/>
    <row r="219" s="22" customFormat="1" ht="12.75" hidden="1"/>
    <row r="220" s="22" customFormat="1" ht="12.75" hidden="1"/>
    <row r="221" s="22" customFormat="1" ht="12.75" hidden="1"/>
    <row r="222" s="22" customFormat="1" ht="12.75" hidden="1"/>
    <row r="223" s="22" customFormat="1" ht="12.75" hidden="1"/>
    <row r="224" s="22" customFormat="1" ht="12.75" hidden="1"/>
    <row r="225" s="22" customFormat="1" ht="12.75" hidden="1"/>
    <row r="226" s="22" customFormat="1" ht="12.75" hidden="1"/>
    <row r="227" s="22" customFormat="1" ht="12.75" hidden="1"/>
    <row r="228" s="22" customFormat="1" ht="12.75" hidden="1"/>
    <row r="229" s="22" customFormat="1" ht="12.75" hidden="1"/>
    <row r="230" s="22" customFormat="1" ht="12.75" hidden="1"/>
    <row r="231" s="22" customFormat="1" ht="12.75" hidden="1"/>
    <row r="232" s="22" customFormat="1" ht="12.75" hidden="1"/>
    <row r="233" s="22" customFormat="1" ht="12.75" hidden="1"/>
    <row r="234" s="22" customFormat="1" ht="12.75" hidden="1"/>
    <row r="235" s="22" customFormat="1" ht="12.75" hidden="1"/>
    <row r="236" s="22" customFormat="1" ht="12.75" hidden="1"/>
    <row r="237" s="22" customFormat="1" ht="12.75" hidden="1"/>
    <row r="238" s="22" customFormat="1" ht="12.75" hidden="1"/>
    <row r="239" s="22" customFormat="1" ht="12.75" hidden="1"/>
    <row r="240" s="22" customFormat="1" ht="12.75" hidden="1"/>
    <row r="241" s="22" customFormat="1" ht="12.75" hidden="1"/>
    <row r="242" s="22" customFormat="1" ht="12.75" hidden="1"/>
    <row r="243" s="22" customFormat="1" ht="12.75" hidden="1"/>
    <row r="244" s="22" customFormat="1" ht="12.75" hidden="1"/>
    <row r="245" s="22" customFormat="1" ht="12.75" hidden="1"/>
    <row r="246" s="22" customFormat="1" ht="12.75" hidden="1"/>
    <row r="247" s="22" customFormat="1" ht="12.75" hidden="1"/>
    <row r="248" s="22" customFormat="1" ht="12.75" hidden="1"/>
    <row r="249" s="22" customFormat="1" ht="12.75" hidden="1"/>
    <row r="250" s="22" customFormat="1" ht="12.75" hidden="1"/>
    <row r="251" s="22" customFormat="1" ht="12.75" hidden="1"/>
    <row r="252" s="22" customFormat="1" ht="12.75" hidden="1"/>
    <row r="253" s="22" customFormat="1" ht="12.75" hidden="1"/>
    <row r="254" s="22" customFormat="1" ht="12.75" hidden="1"/>
    <row r="255" s="22" customFormat="1" ht="12.75" hidden="1"/>
    <row r="256" s="22" customFormat="1" ht="12.75" hidden="1"/>
    <row r="257" s="22" customFormat="1" ht="12.75" hidden="1"/>
    <row r="258" s="22" customFormat="1" ht="12.75" hidden="1"/>
    <row r="259" s="22" customFormat="1" ht="12.75" hidden="1"/>
    <row r="260" s="22" customFormat="1" ht="12.75" hidden="1"/>
    <row r="261" s="22" customFormat="1" ht="12.75" hidden="1"/>
    <row r="262" s="22" customFormat="1" ht="12.75" hidden="1"/>
    <row r="263" s="22" customFormat="1" ht="12.75" hidden="1"/>
    <row r="264" s="22" customFormat="1" ht="12.75" hidden="1"/>
    <row r="265" s="22" customFormat="1" ht="12.75" hidden="1"/>
    <row r="266" s="22" customFormat="1" ht="12.75" hidden="1"/>
    <row r="267" s="22" customFormat="1" ht="12.75" hidden="1"/>
    <row r="268" s="22" customFormat="1" ht="12.75" hidden="1"/>
    <row r="269" s="22" customFormat="1" ht="12.75" hidden="1"/>
    <row r="270" s="22" customFormat="1" ht="12.75" hidden="1"/>
    <row r="271" s="22" customFormat="1" ht="12.75" hidden="1"/>
    <row r="272" s="22" customFormat="1" ht="12.75" hidden="1"/>
    <row r="273" s="22" customFormat="1" ht="12.75" hidden="1"/>
    <row r="274" s="22" customFormat="1" ht="12.75" hidden="1"/>
    <row r="275" s="22" customFormat="1" ht="12.75" hidden="1"/>
    <row r="276" s="22" customFormat="1" ht="12.75" hidden="1"/>
    <row r="277" s="22" customFormat="1" ht="12.75" hidden="1"/>
    <row r="278" s="22" customFormat="1" ht="12.75" hidden="1"/>
    <row r="279" s="22" customFormat="1" ht="12.75" hidden="1"/>
    <row r="280" s="22" customFormat="1" ht="12.75" hidden="1"/>
    <row r="281" s="22" customFormat="1" ht="12.75" hidden="1"/>
    <row r="282" s="22" customFormat="1" ht="12.75" hidden="1"/>
    <row r="283" s="22" customFormat="1" ht="12.75" hidden="1"/>
    <row r="284" s="22" customFormat="1" ht="12.75" hidden="1"/>
    <row r="285" s="22" customFormat="1" ht="12.75" hidden="1"/>
    <row r="286" s="22" customFormat="1" ht="12.75" hidden="1"/>
    <row r="287" s="22" customFormat="1" ht="12.75" hidden="1"/>
    <row r="288" s="22" customFormat="1" ht="12.75" hidden="1"/>
    <row r="289" s="22" customFormat="1" ht="12.75" hidden="1"/>
    <row r="290" s="22" customFormat="1" ht="12.75" hidden="1"/>
    <row r="291" s="22" customFormat="1" ht="12.75" hidden="1"/>
    <row r="292" s="22" customFormat="1" ht="12.75" hidden="1"/>
    <row r="293" s="22" customFormat="1" ht="12.75" hidden="1"/>
    <row r="294" s="22" customFormat="1" ht="12.75" hidden="1"/>
    <row r="295" s="22" customFormat="1" ht="12.75" hidden="1"/>
    <row r="296" s="22" customFormat="1" ht="12.75" hidden="1"/>
    <row r="297" s="22" customFormat="1" ht="12.75" hidden="1"/>
    <row r="298" s="22" customFormat="1" ht="12.75" hidden="1"/>
    <row r="299" s="22" customFormat="1" ht="12.75" hidden="1"/>
    <row r="300" s="22" customFormat="1" ht="12.75" hidden="1"/>
    <row r="301" s="22" customFormat="1" ht="12.75" hidden="1"/>
    <row r="302" s="22" customFormat="1" ht="12.75" hidden="1"/>
    <row r="303" s="22" customFormat="1" ht="12.75" hidden="1"/>
    <row r="304" s="22" customFormat="1" ht="12.75" hidden="1"/>
    <row r="305" s="22" customFormat="1" ht="12.75" hidden="1"/>
    <row r="306" s="22" customFormat="1" ht="12.75" hidden="1"/>
    <row r="307" s="22" customFormat="1" ht="12.75" hidden="1"/>
    <row r="308" s="22" customFormat="1" ht="12.75" hidden="1"/>
    <row r="309" s="22" customFormat="1" ht="12.75" hidden="1"/>
    <row r="310" s="22" customFormat="1" ht="12.75" hidden="1"/>
    <row r="311" s="22" customFormat="1" ht="12.75" hidden="1"/>
    <row r="312" s="22" customFormat="1" ht="12.75" hidden="1"/>
    <row r="313" s="22" customFormat="1" ht="12.75" hidden="1"/>
    <row r="314" s="22" customFormat="1" ht="12.75" hidden="1"/>
    <row r="315" s="22" customFormat="1" ht="12.75" hidden="1"/>
    <row r="316" s="22" customFormat="1" ht="12.75" hidden="1"/>
    <row r="317" s="22" customFormat="1" ht="12.75" hidden="1"/>
    <row r="318" s="22" customFormat="1" ht="12.75" hidden="1"/>
    <row r="319" s="22" customFormat="1" ht="12.75" hidden="1"/>
    <row r="320" s="22" customFormat="1" ht="12.75" hidden="1"/>
    <row r="321" s="22" customFormat="1" ht="12.75" hidden="1"/>
    <row r="322" s="22" customFormat="1" ht="12.75" hidden="1"/>
    <row r="323" s="22" customFormat="1" ht="12.75" hidden="1"/>
    <row r="324" s="22" customFormat="1" ht="12.75" hidden="1"/>
    <row r="325" s="22" customFormat="1" ht="12.75" hidden="1"/>
    <row r="326" s="22" customFormat="1" ht="12.75" hidden="1"/>
    <row r="327" s="22" customFormat="1" ht="12.75" hidden="1"/>
    <row r="328" s="22" customFormat="1" ht="12.75" hidden="1"/>
    <row r="329" s="22" customFormat="1" ht="12.75" hidden="1"/>
    <row r="330" s="22" customFormat="1" ht="12.75" hidden="1"/>
    <row r="331" s="22" customFormat="1" ht="12.75" hidden="1"/>
    <row r="332" s="22" customFormat="1" ht="12.75" hidden="1"/>
    <row r="333" s="22" customFormat="1" ht="12.75" hidden="1"/>
    <row r="334" s="22" customFormat="1" ht="12.75" hidden="1"/>
    <row r="335" s="22" customFormat="1" ht="12.75" hidden="1"/>
    <row r="336" s="22" customFormat="1" ht="12.75" hidden="1"/>
    <row r="337" s="22" customFormat="1" ht="12.75" hidden="1"/>
    <row r="338" s="22" customFormat="1" ht="12.75" hidden="1"/>
    <row r="339" s="22" customFormat="1" ht="12.75" hidden="1"/>
    <row r="340" s="22" customFormat="1" ht="12.75" hidden="1"/>
    <row r="341" s="22" customFormat="1" ht="12.75" hidden="1"/>
    <row r="342" s="22" customFormat="1" ht="12.75" hidden="1"/>
    <row r="343" ht="12.75"/>
    <row r="344" ht="12.75"/>
    <row r="345" ht="12.75"/>
    <row r="346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160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0.1608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21540.9656</v>
      </c>
      <c r="C10" s="8">
        <f>IF(C8*(1+$K$6)&lt;'Locality and Max Pay'!$D$7,C8*(1+$K$6),'Locality and Max Pay'!$D$7)</f>
        <v>24618.2464</v>
      </c>
      <c r="D10" s="8">
        <f>IF(D8*(1+$K$6)&lt;'Locality and Max Pay'!$D$7,D8*(1+$K$6),'Locality and Max Pay'!$D$7)</f>
        <v>27818.572</v>
      </c>
      <c r="E10" s="8">
        <f>IF(E8*(1+$K$6)&lt;'Locality and Max Pay'!$D$7,E8*(1+$K$6),'Locality and Max Pay'!$D$7)</f>
        <v>32741.524800000003</v>
      </c>
      <c r="F10" s="8">
        <f>IF(F8*(1+$K$6)&lt;'Locality and Max Pay'!$D$7,F8*(1+$K$6),'Locality and Max Pay'!$D$7)</f>
        <v>39966.344000000005</v>
      </c>
      <c r="G10" s="8">
        <f>IF(G8*(1+$K$6)&lt;'Locality and Max Pay'!$D$7,G8*(1+$K$6),'Locality and Max Pay'!$D$7)</f>
        <v>44142.9024</v>
      </c>
      <c r="H10" s="8">
        <f>IF(H8*(1+$K$6)&lt;'Locality and Max Pay'!$D$7,H8*(1+$K$6),'Locality and Max Pay'!$D$7)</f>
        <v>51683.459200000005</v>
      </c>
      <c r="I10" s="8">
        <f>IF(I8*(1+$K$6)&lt;'Locality and Max Pay'!$D$7,I8*(1+$K$6),'Locality and Max Pay'!$D$7)</f>
        <v>62091.192</v>
      </c>
      <c r="J10" s="8">
        <f>IF(J8*(1+$K$6)&lt;'Locality and Max Pay'!$D$7,J8*(1+$K$6),'Locality and Max Pay'!$D$7)</f>
        <v>74684.7112</v>
      </c>
      <c r="K10" s="8">
        <f>IF(K8*(1+$K$6)&lt;'Locality and Max Pay'!$D$7,K8*(1+$K$6),'Locality and Max Pay'!$D$7)</f>
        <v>91308.528</v>
      </c>
      <c r="L10" s="8">
        <f>IF(L8*(1+$K$6)&lt;'Locality and Max Pay'!$D$7,L8*(1+$K$6),'Locality and Max Pay'!$D$7)</f>
        <v>108410.5944</v>
      </c>
      <c r="M10" s="8">
        <f>IF(M8*(1+$K$6)&lt;'Locality and Max Pay'!$D$7,M8*(1+$K$6),'Locality and Max Pay'!$D$7)</f>
        <v>129491.88320000001</v>
      </c>
      <c r="N10" s="8">
        <f>IF(N8*(1+$K$6)&lt;'Locality and Max Pay'!$D$7,N8*(1+$K$6),'Locality and Max Pay'!$D$7)</f>
        <v>152509.38640000002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31266.148</v>
      </c>
      <c r="C11" s="8">
        <f>IF(C9*(1+$K$6)&lt;'Locality and Max Pay'!$D$7,C9*(1+$K$6),'Locality and Max Pay'!$D$7)</f>
        <v>35696.9216</v>
      </c>
      <c r="D11" s="8">
        <f>IF(D9*(1+$K$6)&lt;'Locality and Max Pay'!$D$7,D9*(1+$K$6),'Locality and Max Pay'!$D$7)</f>
        <v>41727.2776</v>
      </c>
      <c r="E11" s="8">
        <f>IF(E9*(1+$K$6)&lt;'Locality and Max Pay'!$D$7,E9*(1+$K$6),'Locality and Max Pay'!$D$7)</f>
        <v>49113.448000000004</v>
      </c>
      <c r="F11" s="8">
        <f>IF(F9*(1+$K$6)&lt;'Locality and Max Pay'!$D$7,F9*(1+$K$6),'Locality and Max Pay'!$D$7)</f>
        <v>59949.516</v>
      </c>
      <c r="G11" s="8">
        <f>IF(G9*(1+$K$6)&lt;'Locality and Max Pay'!$D$7,G9*(1+$K$6),'Locality and Max Pay'!$D$7)</f>
        <v>66215.5144</v>
      </c>
      <c r="H11" s="8">
        <f>IF(H9*(1+$K$6)&lt;'Locality and Max Pay'!$D$7,H9*(1+$K$6),'Locality and Max Pay'!$D$7)</f>
        <v>80114.9336</v>
      </c>
      <c r="I11" s="8">
        <f>IF(I9*(1+$K$6)&lt;'Locality and Max Pay'!$D$7,I9*(1+$K$6),'Locality and Max Pay'!$D$7)</f>
        <v>96244.24960000001</v>
      </c>
      <c r="J11" s="8">
        <f>IF(J9*(1+$K$6)&lt;'Locality and Max Pay'!$D$7,J9*(1+$K$6),'Locality and Max Pay'!$D$7)</f>
        <v>115750.3328</v>
      </c>
      <c r="K11" s="8">
        <f>IF(K9*(1+$K$6)&lt;'Locality and Max Pay'!$D$7,K9*(1+$K$6),'Locality and Max Pay'!$D$7)</f>
        <v>141553.756</v>
      </c>
      <c r="L11" s="8">
        <f>IF(L9*(1+$K$6)&lt;'Locality and Max Pay'!$D$7,L9*(1+$K$6),'Locality and Max Pay'!$D$7)</f>
        <v>167980.5288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124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0.1811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21917.6727</v>
      </c>
      <c r="C10" s="8">
        <f>IF(C8*(1+$K$6)&lt;'Locality and Max Pay'!$D$7,C8*(1+$K$6),'Locality and Max Pay'!$D$7)</f>
        <v>25048.7688</v>
      </c>
      <c r="D10" s="8">
        <f>IF(D8*(1+$K$6)&lt;'Locality and Max Pay'!$D$7,D8*(1+$K$6),'Locality and Max Pay'!$D$7)</f>
        <v>28305.0615</v>
      </c>
      <c r="E10" s="8">
        <f>IF(E8*(1+$K$6)&lt;'Locality and Max Pay'!$D$7,E8*(1+$K$6),'Locality and Max Pay'!$D$7)</f>
        <v>33314.1066</v>
      </c>
      <c r="F10" s="8">
        <f>IF(F8*(1+$K$6)&lt;'Locality and Max Pay'!$D$7,F8*(1+$K$6),'Locality and Max Pay'!$D$7)</f>
        <v>40665.273</v>
      </c>
      <c r="G10" s="8">
        <f>IF(G8*(1+$K$6)&lt;'Locality and Max Pay'!$D$7,G8*(1+$K$6),'Locality and Max Pay'!$D$7)</f>
        <v>44914.870800000004</v>
      </c>
      <c r="H10" s="8">
        <f>IF(H8*(1+$K$6)&lt;'Locality and Max Pay'!$D$7,H8*(1+$K$6),'Locality and Max Pay'!$D$7)</f>
        <v>52587.2964</v>
      </c>
      <c r="I10" s="8">
        <f>IF(I8*(1+$K$6)&lt;'Locality and Max Pay'!$D$7,I8*(1+$K$6),'Locality and Max Pay'!$D$7)</f>
        <v>63177.039000000004</v>
      </c>
      <c r="J10" s="8">
        <f>IF(J8*(1+$K$6)&lt;'Locality and Max Pay'!$D$7,J8*(1+$K$6),'Locality and Max Pay'!$D$7)</f>
        <v>75990.7929</v>
      </c>
      <c r="K10" s="8">
        <f>IF(K8*(1+$K$6)&lt;'Locality and Max Pay'!$D$7,K8*(1+$K$6),'Locality and Max Pay'!$D$7)</f>
        <v>92905.326</v>
      </c>
      <c r="L10" s="8">
        <f>IF(L8*(1+$K$6)&lt;'Locality and Max Pay'!$D$7,L8*(1+$K$6),'Locality and Max Pay'!$D$7)</f>
        <v>110306.47230000001</v>
      </c>
      <c r="M10" s="8">
        <f>IF(M8*(1+$K$6)&lt;'Locality and Max Pay'!$D$7,M8*(1+$K$6),'Locality and Max Pay'!$D$7)</f>
        <v>131756.4294</v>
      </c>
      <c r="N10" s="8">
        <f>IF(N8*(1+$K$6)&lt;'Locality and Max Pay'!$D$7,N8*(1+$K$6),'Locality and Max Pay'!$D$7)</f>
        <v>155176.4613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31812.9285</v>
      </c>
      <c r="C11" s="8">
        <f>IF(C9*(1+$K$6)&lt;'Locality and Max Pay'!$D$7,C9*(1+$K$6),'Locality and Max Pay'!$D$7)</f>
        <v>36321.1872</v>
      </c>
      <c r="D11" s="8">
        <f>IF(D9*(1+$K$6)&lt;'Locality and Max Pay'!$D$7,D9*(1+$K$6),'Locality and Max Pay'!$D$7)</f>
        <v>42457.0017</v>
      </c>
      <c r="E11" s="8">
        <f>IF(E9*(1+$K$6)&lt;'Locality and Max Pay'!$D$7,E9*(1+$K$6),'Locality and Max Pay'!$D$7)</f>
        <v>49972.341</v>
      </c>
      <c r="F11" s="8">
        <f>IF(F9*(1+$K$6)&lt;'Locality and Max Pay'!$D$7,F9*(1+$K$6),'Locality and Max Pay'!$D$7)</f>
        <v>60997.9095</v>
      </c>
      <c r="G11" s="8">
        <f>IF(G9*(1+$K$6)&lt;'Locality and Max Pay'!$D$7,G9*(1+$K$6),'Locality and Max Pay'!$D$7)</f>
        <v>67373.48730000001</v>
      </c>
      <c r="H11" s="8">
        <f>IF(H9*(1+$K$6)&lt;'Locality and Max Pay'!$D$7,H9*(1+$K$6),'Locality and Max Pay'!$D$7)</f>
        <v>81515.9787</v>
      </c>
      <c r="I11" s="8">
        <f>IF(I9*(1+$K$6)&lt;'Locality and Max Pay'!$D$7,I9*(1+$K$6),'Locality and Max Pay'!$D$7)</f>
        <v>97927.3632</v>
      </c>
      <c r="J11" s="8">
        <f>IF(J9*(1+$K$6)&lt;'Locality and Max Pay'!$D$7,J9*(1+$K$6),'Locality and Max Pay'!$D$7)</f>
        <v>117774.56760000001</v>
      </c>
      <c r="K11" s="8">
        <f>IF(K9*(1+$K$6)&lt;'Locality and Max Pay'!$D$7,K9*(1+$K$6),'Locality and Max Pay'!$D$7)</f>
        <v>144029.2395</v>
      </c>
      <c r="L11" s="8">
        <f>IF(L9*(1+$K$6)&lt;'Locality and Max Pay'!$D$7,L9*(1+$K$6),'Locality and Max Pay'!$D$7)</f>
        <v>170918.16210000002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  <row r="204" s="22" customFormat="1" ht="12.75" hidden="1"/>
    <row r="205" s="22" customFormat="1" ht="12.75" hidden="1"/>
    <row r="206" s="22" customFormat="1" ht="12.75" hidden="1"/>
    <row r="207" s="22" customFormat="1" ht="12.75" hidden="1"/>
    <row r="208" s="22" customFormat="1" ht="12.75" hidden="1"/>
    <row r="209" s="22" customFormat="1" ht="12.75" hidden="1"/>
    <row r="210" s="22" customFormat="1" ht="12.75" hidden="1"/>
    <row r="211" s="22" customFormat="1" ht="12.75" hidden="1"/>
    <row r="212" s="22" customFormat="1" ht="12.75" hidden="1"/>
    <row r="213" s="22" customFormat="1" ht="12.75" hidden="1"/>
    <row r="214" s="22" customFormat="1" ht="12.75" hidden="1"/>
    <row r="215" s="22" customFormat="1" ht="12.75" hidden="1"/>
    <row r="216" s="22" customFormat="1" ht="12.75" hidden="1"/>
    <row r="217" s="22" customFormat="1" ht="12.75" hidden="1"/>
    <row r="218" s="22" customFormat="1" ht="12.75" hidden="1"/>
    <row r="219" s="22" customFormat="1" ht="12.75" hidden="1"/>
    <row r="220" s="22" customFormat="1" ht="12.75" hidden="1"/>
    <row r="221" s="22" customFormat="1" ht="12.75" hidden="1"/>
    <row r="222" s="22" customFormat="1" ht="12.75" hidden="1"/>
    <row r="223" s="22" customFormat="1" ht="12.75" hidden="1"/>
    <row r="224" s="22" customFormat="1" ht="12.75" hidden="1"/>
    <row r="225" s="22" customFormat="1" ht="12.75" hidden="1"/>
    <row r="226" s="22" customFormat="1" ht="12.75" hidden="1"/>
    <row r="227" s="22" customFormat="1" ht="12.75" hidden="1"/>
    <row r="228" s="22" customFormat="1" ht="12.75" hidden="1"/>
    <row r="229" s="22" customFormat="1" ht="12.75" hidden="1"/>
    <row r="230" s="22" customFormat="1" ht="12.75" hidden="1"/>
    <row r="231" s="22" customFormat="1" ht="12.75" hidden="1"/>
    <row r="232" s="22" customFormat="1" ht="12.75" hidden="1"/>
    <row r="233" s="22" customFormat="1" ht="12.75" hidden="1"/>
    <row r="234" s="22" customFormat="1" ht="12.75" hidden="1"/>
    <row r="235" s="22" customFormat="1" ht="12.75" hidden="1"/>
    <row r="236" s="22" customFormat="1" ht="12.75" hidden="1"/>
    <row r="237" s="22" customFormat="1" ht="12.75" hidden="1"/>
    <row r="238" s="22" customFormat="1" ht="12.75" hidden="1"/>
    <row r="239" s="22" customFormat="1" ht="12.75" hidden="1"/>
    <row r="240" s="22" customFormat="1" ht="12.75" hidden="1"/>
    <row r="241" s="22" customFormat="1" ht="12.75" hidden="1"/>
    <row r="242" s="22" customFormat="1" ht="12.75" hidden="1"/>
    <row r="243" s="22" customFormat="1" ht="12.75" hidden="1"/>
    <row r="244" s="22" customFormat="1" ht="12.75" hidden="1"/>
    <row r="245" s="22" customFormat="1" ht="12.75" hidden="1"/>
    <row r="246" s="22" customFormat="1" ht="12.75" hidden="1"/>
    <row r="247" s="22" customFormat="1" ht="12.75" hidden="1"/>
    <row r="248" s="22" customFormat="1" ht="12.75" hidden="1"/>
    <row r="249" s="22" customFormat="1" ht="12.75" hidden="1"/>
    <row r="250" s="22" customFormat="1" ht="12.75" hidden="1"/>
    <row r="251" s="22" customFormat="1" ht="12.75" hidden="1"/>
    <row r="252" s="22" customFormat="1" ht="12.75" hidden="1"/>
    <row r="253" s="22" customFormat="1" ht="12.75" hidden="1"/>
    <row r="254" s="22" customFormat="1" ht="12.75" hidden="1"/>
    <row r="255" s="22" customFormat="1" ht="12.75" hidden="1"/>
    <row r="256" s="22" customFormat="1" ht="12.75" hidden="1"/>
    <row r="257" s="22" customFormat="1" ht="12.75" hidden="1"/>
    <row r="258" s="22" customFormat="1" ht="12.75" hidden="1"/>
    <row r="259" s="22" customFormat="1" ht="12.75" hidden="1"/>
    <row r="260" s="22" customFormat="1" ht="12.75" hidden="1"/>
    <row r="261" s="22" customFormat="1" ht="12.75" hidden="1"/>
    <row r="262" s="22" customFormat="1" ht="12.75" hidden="1"/>
    <row r="263" s="22" customFormat="1" ht="12.75" hidden="1"/>
    <row r="264" s="22" customFormat="1" ht="12.75" hidden="1"/>
    <row r="265" s="22" customFormat="1" ht="12.75" hidden="1"/>
    <row r="266" s="22" customFormat="1" ht="12.75" hidden="1"/>
    <row r="267" s="22" customFormat="1" ht="12.75" hidden="1"/>
    <row r="268" s="22" customFormat="1" ht="12.75" hidden="1"/>
    <row r="269" s="22" customFormat="1" ht="12.75" hidden="1"/>
    <row r="270" s="22" customFormat="1" ht="12.75" hidden="1"/>
    <row r="271" s="22" customFormat="1" ht="12.75" hidden="1"/>
    <row r="272" s="22" customFormat="1" ht="12.75" hidden="1"/>
    <row r="273" s="22" customFormat="1" ht="12.75" hidden="1"/>
    <row r="274" s="22" customFormat="1" ht="12.75" hidden="1"/>
    <row r="275" s="22" customFormat="1" ht="12.75" hidden="1"/>
    <row r="276" s="22" customFormat="1" ht="12.75" hidden="1"/>
    <row r="277" s="22" customFormat="1" ht="12.75" hidden="1"/>
    <row r="278" s="22" customFormat="1" ht="12.75" hidden="1"/>
    <row r="279" s="22" customFormat="1" ht="12.75" hidden="1"/>
    <row r="280" s="22" customFormat="1" ht="12.75" hidden="1"/>
    <row r="281" s="22" customFormat="1" ht="12.75" hidden="1"/>
    <row r="282" s="22" customFormat="1" ht="12.75" hidden="1"/>
    <row r="283" s="22" customFormat="1" ht="12.75" hidden="1"/>
    <row r="284" s="22" customFormat="1" ht="12.75" hidden="1"/>
    <row r="285" s="22" customFormat="1" ht="12.75" hidden="1"/>
    <row r="286" s="22" customFormat="1" ht="12.75" hidden="1"/>
    <row r="287" s="22" customFormat="1" ht="12.75" hidden="1"/>
    <row r="288" s="22" customFormat="1" ht="12.75" hidden="1"/>
    <row r="289" s="22" customFormat="1" ht="12.75" hidden="1"/>
    <row r="290" s="22" customFormat="1" ht="12.75" hidden="1"/>
    <row r="291" s="22" customFormat="1" ht="12.75" hidden="1"/>
    <row r="292" s="22" customFormat="1" ht="12.75" hidden="1"/>
    <row r="293" s="22" customFormat="1" ht="12.75" hidden="1"/>
    <row r="294" s="22" customFormat="1" ht="12.75" hidden="1"/>
    <row r="295" s="22" customFormat="1" ht="12.75" hidden="1"/>
    <row r="296" s="22" customFormat="1" ht="12.75" hidden="1"/>
    <row r="297" s="22" customFormat="1" ht="12.75" hidden="1"/>
    <row r="298" s="22" customFormat="1" ht="12.75" hidden="1"/>
    <row r="299" s="22" customFormat="1" ht="12.75" hidden="1"/>
    <row r="300" s="22" customFormat="1" ht="12.75" hidden="1"/>
    <row r="301" s="22" customFormat="1" ht="12.75" hidden="1"/>
    <row r="302" s="22" customFormat="1" ht="12.75" hidden="1"/>
    <row r="303" s="22" customFormat="1" ht="12.75" hidden="1"/>
    <row r="304" s="22" customFormat="1" ht="12.75" hidden="1"/>
    <row r="305" s="22" customFormat="1" ht="12.75" hidden="1"/>
    <row r="306" s="22" customFormat="1" ht="12.75" hidden="1"/>
    <row r="307" s="22" customFormat="1" ht="12.75" hidden="1"/>
    <row r="308" s="22" customFormat="1" ht="12.75" hidden="1"/>
    <row r="309" s="22" customFormat="1" ht="12.75" hidden="1"/>
    <row r="310" s="22" customFormat="1" ht="12.75" hidden="1"/>
    <row r="311" s="22" customFormat="1" ht="12.75" hidden="1"/>
    <row r="312" s="22" customFormat="1" ht="12.75" hidden="1"/>
    <row r="313" s="22" customFormat="1" ht="12.75" hidden="1"/>
    <row r="314" s="22" customFormat="1" ht="12.75" hidden="1"/>
    <row r="315" s="22" customFormat="1" ht="12.75" hidden="1"/>
    <row r="316" s="22" customFormat="1" ht="12.75" hidden="1"/>
    <row r="317" s="22" customFormat="1" ht="12.75" hidden="1"/>
    <row r="318" s="22" customFormat="1" ht="12.75" hidden="1"/>
    <row r="319" s="22" customFormat="1" ht="12.75" hidden="1"/>
    <row r="320" s="22" customFormat="1" ht="12.75" hidden="1"/>
    <row r="321" s="22" customFormat="1" ht="12.75" hidden="1"/>
    <row r="322" s="22" customFormat="1" ht="12.75" hidden="1"/>
    <row r="323" s="22" customFormat="1" ht="12.75" hidden="1"/>
    <row r="324" s="22" customFormat="1" ht="12.75" hidden="1"/>
    <row r="325" s="22" customFormat="1" ht="12.75" hidden="1"/>
    <row r="326" s="22" customFormat="1" ht="12.75" hidden="1"/>
    <row r="327" s="22" customFormat="1" ht="12.75" hidden="1"/>
    <row r="328" s="22" customFormat="1" ht="12.75" hidden="1"/>
    <row r="329" s="22" customFormat="1" ht="12.75" hidden="1"/>
    <row r="330" s="22" customFormat="1" ht="12.75" hidden="1"/>
    <row r="331" s="22" customFormat="1" ht="12.75" hidden="1"/>
    <row r="332" s="22" customFormat="1" ht="12.75" hidden="1"/>
    <row r="333" s="22" customFormat="1" ht="12.75" hidden="1"/>
    <row r="334" s="22" customFormat="1" ht="12.75" hidden="1"/>
    <row r="335" s="22" customFormat="1" ht="12.75" hidden="1"/>
    <row r="336" s="22" customFormat="1" ht="12.75" hidden="1"/>
    <row r="337" s="22" customFormat="1" ht="12.75" hidden="1"/>
    <row r="338" s="22" customFormat="1" ht="12.75" hidden="1"/>
    <row r="339" s="22" customFormat="1" ht="12.75" hidden="1"/>
    <row r="340" s="22" customFormat="1" ht="12.75" hidden="1"/>
    <row r="341" s="22" customFormat="1" ht="12.75" hidden="1"/>
    <row r="342" s="22" customFormat="1" ht="12.75" hidden="1"/>
    <row r="343" ht="12.75"/>
    <row r="344" ht="12.75"/>
    <row r="345" ht="12.75"/>
    <row r="346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83.8515625" style="47" bestFit="1" customWidth="1"/>
    <col min="3" max="8" width="8.8515625" style="47" customWidth="1"/>
  </cols>
  <sheetData>
    <row r="1" spans="1:10" ht="16.5" thickBot="1">
      <c r="A1" s="80" t="s">
        <v>152</v>
      </c>
      <c r="B1" s="81"/>
      <c r="I1" s="47"/>
      <c r="J1" s="47"/>
    </row>
    <row r="2" spans="1:10" ht="12.75">
      <c r="A2" s="52" t="s">
        <v>153</v>
      </c>
      <c r="I2" s="47"/>
      <c r="J2" s="47"/>
    </row>
    <row r="4" spans="2:3" ht="12.75">
      <c r="B4" s="43" t="s">
        <v>117</v>
      </c>
      <c r="C4" s="44"/>
    </row>
    <row r="5" spans="2:3" ht="12.75">
      <c r="B5" s="43" t="s">
        <v>115</v>
      </c>
      <c r="C5" s="50"/>
    </row>
    <row r="6" spans="1:9" s="75" customFormat="1" ht="12.75">
      <c r="A6" s="72"/>
      <c r="B6" s="73" t="s">
        <v>169</v>
      </c>
      <c r="C6" s="74"/>
      <c r="D6" s="74"/>
      <c r="E6" s="74"/>
      <c r="F6" s="74"/>
      <c r="G6" s="74"/>
      <c r="H6" s="74"/>
      <c r="I6" s="74"/>
    </row>
    <row r="7" spans="1:9" s="75" customFormat="1" ht="12.75">
      <c r="A7" s="72"/>
      <c r="B7" s="73" t="s">
        <v>170</v>
      </c>
      <c r="C7" s="74"/>
      <c r="D7" s="74"/>
      <c r="E7" s="74"/>
      <c r="F7" s="74"/>
      <c r="G7" s="74"/>
      <c r="H7" s="74"/>
      <c r="I7" s="74"/>
    </row>
    <row r="8" spans="2:6" ht="12.75">
      <c r="B8" s="43" t="s">
        <v>0</v>
      </c>
      <c r="C8" s="51"/>
      <c r="D8" s="43"/>
      <c r="E8" s="43"/>
      <c r="F8" s="43"/>
    </row>
    <row r="9" spans="1:9" s="75" customFormat="1" ht="12.75">
      <c r="A9" s="76"/>
      <c r="B9" s="73" t="s">
        <v>171</v>
      </c>
      <c r="C9" s="74"/>
      <c r="D9" s="74"/>
      <c r="E9" s="74"/>
      <c r="F9" s="74"/>
      <c r="G9" s="74"/>
      <c r="H9" s="74"/>
      <c r="I9" s="74"/>
    </row>
    <row r="10" spans="2:6" ht="12.75">
      <c r="B10" s="43" t="s">
        <v>106</v>
      </c>
      <c r="C10" s="37"/>
      <c r="D10" s="43"/>
      <c r="E10" s="43"/>
      <c r="F10" s="43"/>
    </row>
    <row r="11" spans="2:6" ht="12.75">
      <c r="B11" s="43" t="s">
        <v>103</v>
      </c>
      <c r="C11" s="37"/>
      <c r="D11" s="43"/>
      <c r="E11" s="43"/>
      <c r="F11" s="43"/>
    </row>
    <row r="12" spans="1:9" s="75" customFormat="1" ht="12.75">
      <c r="A12" s="77"/>
      <c r="B12" s="48" t="s">
        <v>172</v>
      </c>
      <c r="C12" s="74"/>
      <c r="D12" s="74"/>
      <c r="E12" s="74"/>
      <c r="F12" s="74"/>
      <c r="G12" s="74"/>
      <c r="H12" s="74"/>
      <c r="I12" s="74"/>
    </row>
    <row r="13" spans="2:6" ht="12.75">
      <c r="B13" s="43" t="s">
        <v>1</v>
      </c>
      <c r="C13" s="37"/>
      <c r="D13" s="43"/>
      <c r="E13" s="43"/>
      <c r="F13" s="43"/>
    </row>
    <row r="14" spans="2:6" ht="12.75">
      <c r="B14" s="43" t="s">
        <v>2</v>
      </c>
      <c r="C14" s="37"/>
      <c r="D14" s="43"/>
      <c r="E14" s="43"/>
      <c r="F14" s="43"/>
    </row>
    <row r="15" spans="2:6" ht="12.75">
      <c r="B15" s="43" t="s">
        <v>3</v>
      </c>
      <c r="C15" s="37"/>
      <c r="D15" s="43"/>
      <c r="E15" s="43"/>
      <c r="F15" s="43"/>
    </row>
    <row r="16" spans="1:9" s="75" customFormat="1" ht="12.75">
      <c r="A16" s="77"/>
      <c r="B16" s="48" t="s">
        <v>173</v>
      </c>
      <c r="C16" s="74"/>
      <c r="D16" s="74"/>
      <c r="E16" s="74"/>
      <c r="F16" s="74"/>
      <c r="G16" s="74"/>
      <c r="H16" s="74"/>
      <c r="I16" s="74"/>
    </row>
    <row r="17" spans="2:6" ht="12.75">
      <c r="B17" s="43" t="s">
        <v>4</v>
      </c>
      <c r="C17" s="37"/>
      <c r="D17" s="43"/>
      <c r="E17" s="43"/>
      <c r="F17" s="43"/>
    </row>
    <row r="18" spans="2:6" ht="12.75">
      <c r="B18" s="43" t="s">
        <v>5</v>
      </c>
      <c r="C18" s="37"/>
      <c r="D18" s="44"/>
      <c r="E18" s="44"/>
      <c r="F18" s="44"/>
    </row>
    <row r="19" spans="1:9" s="75" customFormat="1" ht="12.75">
      <c r="A19" s="77"/>
      <c r="B19" s="48" t="s">
        <v>174</v>
      </c>
      <c r="C19" s="74"/>
      <c r="D19" s="74"/>
      <c r="E19" s="74"/>
      <c r="F19" s="74"/>
      <c r="G19" s="74"/>
      <c r="H19" s="74"/>
      <c r="I19" s="74"/>
    </row>
    <row r="20" spans="2:6" ht="12.75">
      <c r="B20" s="43" t="s">
        <v>6</v>
      </c>
      <c r="C20" s="37"/>
      <c r="D20" s="44"/>
      <c r="E20" s="44"/>
      <c r="F20" s="44"/>
    </row>
    <row r="21" spans="2:6" ht="12.75">
      <c r="B21" s="43" t="s">
        <v>7</v>
      </c>
      <c r="C21" s="37"/>
      <c r="D21" s="44"/>
      <c r="E21" s="44"/>
      <c r="F21" s="44"/>
    </row>
    <row r="22" spans="2:6" ht="12.75">
      <c r="B22" s="43" t="s">
        <v>87</v>
      </c>
      <c r="C22" s="37"/>
      <c r="D22" s="44"/>
      <c r="E22" s="44"/>
      <c r="F22" s="44"/>
    </row>
    <row r="23" spans="1:9" s="75" customFormat="1" ht="12.75">
      <c r="A23" s="77"/>
      <c r="B23" s="48" t="s">
        <v>175</v>
      </c>
      <c r="C23" s="74"/>
      <c r="D23" s="74"/>
      <c r="E23" s="74"/>
      <c r="F23" s="74"/>
      <c r="G23" s="74"/>
      <c r="H23" s="74"/>
      <c r="I23" s="74"/>
    </row>
    <row r="24" spans="2:6" ht="12.75">
      <c r="B24" s="43" t="s">
        <v>84</v>
      </c>
      <c r="C24" s="37"/>
      <c r="D24" s="44"/>
      <c r="E24" s="44"/>
      <c r="F24" s="44"/>
    </row>
    <row r="25" spans="2:6" ht="12.75">
      <c r="B25" s="43" t="s">
        <v>116</v>
      </c>
      <c r="C25" s="37"/>
      <c r="D25" s="44"/>
      <c r="E25" s="44"/>
      <c r="F25" s="44"/>
    </row>
    <row r="26" spans="2:6" ht="12.75">
      <c r="B26" s="43" t="s">
        <v>8</v>
      </c>
      <c r="C26" s="37"/>
      <c r="D26" s="44"/>
      <c r="E26" s="44"/>
      <c r="F26" s="44"/>
    </row>
    <row r="27" spans="2:6" ht="12.75">
      <c r="B27" s="43" t="s">
        <v>9</v>
      </c>
      <c r="C27" s="37"/>
      <c r="D27" s="44"/>
      <c r="E27" s="44"/>
      <c r="F27" s="44"/>
    </row>
    <row r="28" spans="2:6" ht="12.75">
      <c r="B28" s="43" t="s">
        <v>10</v>
      </c>
      <c r="C28" s="37"/>
      <c r="D28" s="44"/>
      <c r="E28" s="44"/>
      <c r="F28" s="44"/>
    </row>
    <row r="29" spans="1:9" s="75" customFormat="1" ht="12.75">
      <c r="A29" s="77"/>
      <c r="B29" s="48" t="s">
        <v>176</v>
      </c>
      <c r="C29" s="74"/>
      <c r="D29" s="74"/>
      <c r="E29" s="74"/>
      <c r="F29" s="74"/>
      <c r="G29" s="74"/>
      <c r="H29" s="74"/>
      <c r="I29" s="74"/>
    </row>
    <row r="30" spans="1:9" s="75" customFormat="1" ht="12.75">
      <c r="A30" s="77"/>
      <c r="B30" s="48" t="s">
        <v>177</v>
      </c>
      <c r="C30" s="74"/>
      <c r="D30" s="74"/>
      <c r="E30" s="74"/>
      <c r="F30" s="74"/>
      <c r="G30" s="74"/>
      <c r="H30" s="74"/>
      <c r="I30" s="74"/>
    </row>
    <row r="31" spans="1:9" s="75" customFormat="1" ht="12.75">
      <c r="A31" s="77"/>
      <c r="B31" s="48" t="s">
        <v>178</v>
      </c>
      <c r="C31" s="74"/>
      <c r="D31" s="74"/>
      <c r="E31" s="74"/>
      <c r="F31" s="74"/>
      <c r="G31" s="74"/>
      <c r="H31" s="74"/>
      <c r="I31" s="74"/>
    </row>
    <row r="32" spans="2:6" ht="12.75">
      <c r="B32" s="43" t="s">
        <v>85</v>
      </c>
      <c r="C32" s="37"/>
      <c r="D32" s="44"/>
      <c r="E32" s="44"/>
      <c r="F32" s="44"/>
    </row>
    <row r="33" spans="2:6" ht="12.75">
      <c r="B33" s="43" t="s">
        <v>11</v>
      </c>
      <c r="C33" s="37"/>
      <c r="D33" s="44"/>
      <c r="E33" s="44"/>
      <c r="F33" s="44"/>
    </row>
    <row r="34" spans="2:6" ht="12.75">
      <c r="B34" s="43" t="s">
        <v>12</v>
      </c>
      <c r="C34" s="37"/>
      <c r="D34" s="44"/>
      <c r="E34" s="44"/>
      <c r="F34" s="44"/>
    </row>
    <row r="35" spans="2:6" ht="12.75">
      <c r="B35" s="43" t="s">
        <v>13</v>
      </c>
      <c r="C35" s="37"/>
      <c r="D35" s="44"/>
      <c r="E35" s="44"/>
      <c r="F35" s="44"/>
    </row>
    <row r="36" spans="2:6" ht="12.75">
      <c r="B36" s="43" t="s">
        <v>14</v>
      </c>
      <c r="C36" s="37"/>
      <c r="D36" s="45"/>
      <c r="E36" s="45"/>
      <c r="F36" s="45"/>
    </row>
    <row r="37" spans="1:9" s="75" customFormat="1" ht="12.75">
      <c r="A37" s="77"/>
      <c r="B37" s="48" t="s">
        <v>179</v>
      </c>
      <c r="C37" s="74"/>
      <c r="D37" s="74"/>
      <c r="E37" s="74"/>
      <c r="F37" s="74"/>
      <c r="G37" s="74"/>
      <c r="H37" s="74"/>
      <c r="I37" s="74"/>
    </row>
    <row r="38" spans="2:6" ht="12.75">
      <c r="B38" s="43" t="s">
        <v>88</v>
      </c>
      <c r="C38" s="37"/>
      <c r="D38" s="46"/>
      <c r="E38" s="46"/>
      <c r="F38" s="46"/>
    </row>
    <row r="39" spans="2:6" ht="12.75">
      <c r="B39" s="43" t="s">
        <v>104</v>
      </c>
      <c r="C39" s="37"/>
      <c r="D39" s="44"/>
      <c r="E39" s="44"/>
      <c r="F39" s="44"/>
    </row>
    <row r="40" spans="2:6" ht="12.75">
      <c r="B40" s="43" t="s">
        <v>15</v>
      </c>
      <c r="C40" s="37"/>
      <c r="D40" s="44"/>
      <c r="E40" s="44"/>
      <c r="F40" s="44"/>
    </row>
    <row r="41" spans="2:6" ht="12.75">
      <c r="B41" s="43" t="s">
        <v>16</v>
      </c>
      <c r="C41" s="37"/>
      <c r="D41" s="44"/>
      <c r="E41" s="44"/>
      <c r="F41" s="44"/>
    </row>
    <row r="42" spans="2:6" ht="12.75">
      <c r="B42" s="43" t="s">
        <v>105</v>
      </c>
      <c r="C42" s="37"/>
      <c r="D42" s="44"/>
      <c r="E42" s="44"/>
      <c r="F42" s="44"/>
    </row>
    <row r="43" spans="2:6" ht="12.75">
      <c r="B43" s="43" t="s">
        <v>17</v>
      </c>
      <c r="C43" s="37"/>
      <c r="D43" s="44"/>
      <c r="E43" s="44"/>
      <c r="F43" s="44"/>
    </row>
    <row r="44" spans="2:6" ht="12.75">
      <c r="B44" s="43" t="s">
        <v>18</v>
      </c>
      <c r="C44" s="37"/>
      <c r="D44" s="44"/>
      <c r="E44" s="44"/>
      <c r="F44" s="44"/>
    </row>
    <row r="45" spans="2:6" ht="12.75">
      <c r="B45" s="43" t="s">
        <v>19</v>
      </c>
      <c r="C45" s="37"/>
      <c r="D45" s="44"/>
      <c r="E45" s="44"/>
      <c r="F45" s="44"/>
    </row>
    <row r="46" spans="2:6" ht="12.75">
      <c r="B46" s="43" t="s">
        <v>20</v>
      </c>
      <c r="C46" s="37"/>
      <c r="D46" s="44"/>
      <c r="E46" s="44"/>
      <c r="F46" s="44"/>
    </row>
    <row r="47" spans="2:6" ht="12.75">
      <c r="B47" s="43" t="s">
        <v>21</v>
      </c>
      <c r="C47" s="37"/>
      <c r="D47" s="44"/>
      <c r="E47" s="44"/>
      <c r="F47" s="44"/>
    </row>
    <row r="48" spans="1:9" s="75" customFormat="1" ht="12.75">
      <c r="A48" s="77"/>
      <c r="B48" s="48" t="s">
        <v>180</v>
      </c>
      <c r="C48" s="74"/>
      <c r="D48" s="74"/>
      <c r="E48" s="74"/>
      <c r="F48" s="74"/>
      <c r="G48" s="74"/>
      <c r="H48" s="74"/>
      <c r="I48" s="74"/>
    </row>
    <row r="49" spans="1:9" s="75" customFormat="1" ht="12.75">
      <c r="A49" s="77"/>
      <c r="B49" s="48" t="s">
        <v>181</v>
      </c>
      <c r="C49" s="74"/>
      <c r="D49" s="74"/>
      <c r="E49" s="74"/>
      <c r="F49" s="74"/>
      <c r="G49" s="74"/>
      <c r="H49" s="74"/>
      <c r="I49" s="74"/>
    </row>
    <row r="50" spans="2:6" ht="12.75">
      <c r="B50" s="43" t="s">
        <v>89</v>
      </c>
      <c r="C50" s="37"/>
      <c r="D50" s="46"/>
      <c r="E50" s="46"/>
      <c r="F50" s="46"/>
    </row>
    <row r="51" spans="2:3" ht="12.75">
      <c r="B51" s="43" t="s">
        <v>114</v>
      </c>
      <c r="C51" s="37"/>
    </row>
    <row r="52" spans="2:3" ht="12.75">
      <c r="B52" s="43" t="s">
        <v>86</v>
      </c>
      <c r="C52" s="37"/>
    </row>
    <row r="53" ht="13.5" thickBot="1"/>
    <row r="54" spans="2:5" ht="28.5" customHeight="1" thickBot="1">
      <c r="B54" s="64" t="str">
        <f>'Locality and Max Pay'!F6</f>
        <v>Note:  Pay rates for FAA employees, including locality pay, are capped by law at $189,600 — the rate for level II of the Executive Schedule (P.L. 104-264 paragraph 40122 c).  </v>
      </c>
      <c r="C54" s="78"/>
      <c r="D54" s="79"/>
      <c r="E54" s="79"/>
    </row>
  </sheetData>
  <sheetProtection password="DDDE" sheet="1" objects="1" scenarios="1"/>
  <hyperlinks>
    <hyperlink ref="B8:F8" location="atl!A1" display="Atlanta, GA"/>
    <hyperlink ref="B10:F10" location="bos!A1" display="Boston, Worcester-Lawrence, Massachusetts - New Hampshire - Maine - Connecticut"/>
    <hyperlink ref="B11:F11" location="buf!A1" display="Buffalo"/>
    <hyperlink ref="B13:F13" location="chi!A1" display="Chicago-Gary-Kenosha, Illinois - Indiana - Wisconsin"/>
    <hyperlink ref="B14:F14" location="cin!A1" display="Cincinnati-Hamilton, Ohio - Kentucky - Indiana"/>
    <hyperlink ref="B15:F15" location="cle!A1" display="Cleveland-Akron, Ohio"/>
    <hyperlink ref="B17:F17" location="col!A1" display="Columbus, Ohio"/>
    <hyperlink ref="B18" location="dfw!A1" display="Dallas-Fort Worth, Texas"/>
    <hyperlink ref="B20" location="day!A1" display="Dayton-Springfield, Ohio"/>
    <hyperlink ref="B21" location="den!A1" display="Denver-Boulder-Greeley, Colorado"/>
    <hyperlink ref="B22" location="det!A1" display="Detroit-Ann Arbor-Flint, Michigan"/>
    <hyperlink ref="B24" location="har!A1" display="Hartford, Connecticut (including all of New London County, CT)"/>
    <hyperlink ref="B26" location="hou!A1" display="Houston-Galveston-Brazoria, Texas"/>
    <hyperlink ref="B27" location="hnt!A1" display="Huntsville, Alabama"/>
    <hyperlink ref="B28" location="ind!A1" display="Indianapolis, Indiana"/>
    <hyperlink ref="B32" location="la!A1" display="Los Angeles-Riverside-Orange County, California "/>
    <hyperlink ref="B33" location="mia!A1" display="Miami-Fort Lauderdale, Florida"/>
    <hyperlink ref="B34" location="mil!A1" display="Milwaukee-Racine, Wisconsin"/>
    <hyperlink ref="B35" location="msp!A1" display="Minneapolis-St. Paul, Minnesota - Wisconsin"/>
    <hyperlink ref="B36" location="ny!A1" display="New York-Northern New Jersey-Long Island, New York - New Jersey - Connecticut - Pennsylvania"/>
    <hyperlink ref="B38" location="phl!A1" display="Philadelphia-Wilmington-Atlantic City, Pennsylvania - New Jersey - Delaware - Maryland"/>
    <hyperlink ref="B39" location="phx!A1" display="Phoenix, Arizona"/>
    <hyperlink ref="B40" location="pit!A1" display="Pittsburgh, Pennsylvania"/>
    <hyperlink ref="B41" location="por!A1" display="Portland-Salem, Oregon - Washington"/>
    <hyperlink ref="B42" location="ral!A1" display="Raleigh, North Carolina"/>
    <hyperlink ref="B43" location="rch!A1" display="Richmond-Petersburg, Virginia"/>
    <hyperlink ref="B44" location="sac!A1" display="Sacramento-Yolo, California"/>
    <hyperlink ref="B45" location="sd!A1" display="San Diego, California"/>
    <hyperlink ref="B46" location="sf!A1" display="San Francisco-Oakland-San Jose, California"/>
    <hyperlink ref="B47" location="sea!A1" display="Seattle-Tacoma-Bremerton, Washington"/>
    <hyperlink ref="B50" location="dcb!A1" display="Washington-Baltimore, District of Columbia - Maryland - Virginia - West Virginia "/>
    <hyperlink ref="B52" location="rus!A1" display="Rest of United States  "/>
    <hyperlink ref="B5" location="AK!A1" display="Alaska"/>
    <hyperlink ref="B25" location="HI!A1" display="Hawaii"/>
    <hyperlink ref="B51" location="Intl!A1" display="International"/>
    <hyperlink ref="B4" location="'No Locality'!A1" display="No Locality"/>
    <hyperlink ref="B6" location="Albany!A1" display="Albany, NY"/>
    <hyperlink ref="B7" location="Albuquerque!A1" display="Albuquerque-Santa Fe, NM"/>
    <hyperlink ref="B9" location="Austin!A1" display="Austin, TX"/>
    <hyperlink ref="B12" location="Charlotte!A1" display="Charlotte-Concord, NC-SC"/>
    <hyperlink ref="B16" location="'Colorado Springs'!A1" display="Colorado Springs, CO"/>
    <hyperlink ref="B19" location="Davenport!A1" display="Davenport-Moline, IA-IL"/>
    <hyperlink ref="B23" location="Harrisburg!A1" display="Harrisburg-Lebanon,PA"/>
    <hyperlink ref="B29" location="'Kansas City'!A1" display="Kansas City, MO-KS"/>
    <hyperlink ref="B30" location="Laredo!A1" display="Laredo, TX"/>
    <hyperlink ref="B31" location="'Las Vegas'!A1" display="Las Vegas-Henderson, NV-AZ"/>
    <hyperlink ref="B37" location="'Palm Bay'!A1" display="Palm Bay, Florida"/>
    <hyperlink ref="B48" location="'St. Louis'!A1" display="St Louis-St Charlies-Farmingron, MO-IL"/>
    <hyperlink ref="B49" location="Tucson!A1" display="Tucson, AZ"/>
  </hyperlinks>
  <printOptions/>
  <pageMargins left="0.75" right="0.75" top="1" bottom="1" header="0.5" footer="0.5"/>
  <pageSetup fitToHeight="1" fitToWidth="1" horizontalDpi="600" verticalDpi="600" orientation="portrait" scale="9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125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0.2547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23283.4679</v>
      </c>
      <c r="C10" s="8">
        <f>IF(C8*(1+$K$6)&lt;'Locality and Max Pay'!$D$7,C8*(1+$K$6),'Locality and Max Pay'!$D$7)</f>
        <v>26609.6776</v>
      </c>
      <c r="D10" s="8">
        <f>IF(D8*(1+$K$6)&lt;'Locality and Max Pay'!$D$7,D8*(1+$K$6),'Locality and Max Pay'!$D$7)</f>
        <v>30068.885499999997</v>
      </c>
      <c r="E10" s="8">
        <f>IF(E8*(1+$K$6)&lt;'Locality and Max Pay'!$D$7,E8*(1+$K$6),'Locality and Max Pay'!$D$7)</f>
        <v>35390.0682</v>
      </c>
      <c r="F10" s="8">
        <f>IF(F8*(1+$K$6)&lt;'Locality and Max Pay'!$D$7,F8*(1+$K$6),'Locality and Max Pay'!$D$7)</f>
        <v>43199.320999999996</v>
      </c>
      <c r="G10" s="8">
        <f>IF(G8*(1+$K$6)&lt;'Locality and Max Pay'!$D$7,G8*(1+$K$6),'Locality and Max Pay'!$D$7)</f>
        <v>47713.7316</v>
      </c>
      <c r="H10" s="8">
        <f>IF(H8*(1+$K$6)&lt;'Locality and Max Pay'!$D$7,H8*(1+$K$6),'Locality and Max Pay'!$D$7)</f>
        <v>55864.2628</v>
      </c>
      <c r="I10" s="8">
        <f>IF(I8*(1+$K$6)&lt;'Locality and Max Pay'!$D$7,I8*(1+$K$6),'Locality and Max Pay'!$D$7)</f>
        <v>67113.90299999999</v>
      </c>
      <c r="J10" s="8">
        <f>IF(J8*(1+$K$6)&lt;'Locality and Max Pay'!$D$7,J8*(1+$K$6),'Locality and Max Pay'!$D$7)</f>
        <v>80726.1433</v>
      </c>
      <c r="K10" s="8">
        <f>IF(K8*(1+$K$6)&lt;'Locality and Max Pay'!$D$7,K8*(1+$K$6),'Locality and Max Pay'!$D$7)</f>
        <v>98694.70199999999</v>
      </c>
      <c r="L10" s="8">
        <f>IF(L8*(1+$K$6)&lt;'Locality and Max Pay'!$D$7,L8*(1+$K$6),'Locality and Max Pay'!$D$7)</f>
        <v>117180.19709999999</v>
      </c>
      <c r="M10" s="8">
        <f>IF(M8*(1+$K$6)&lt;'Locality and Max Pay'!$D$7,M8*(1+$K$6),'Locality and Max Pay'!$D$7)</f>
        <v>139966.8038</v>
      </c>
      <c r="N10" s="8">
        <f>IF(N8*(1+$K$6)&lt;'Locality and Max Pay'!$D$7,N8*(1+$K$6),'Locality and Max Pay'!$D$7)</f>
        <v>164846.2501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33795.3445</v>
      </c>
      <c r="C11" s="8">
        <f>IF(C9*(1+$K$6)&lt;'Locality and Max Pay'!$D$7,C9*(1+$K$6),'Locality and Max Pay'!$D$7)</f>
        <v>38584.5344</v>
      </c>
      <c r="D11" s="8">
        <f>IF(D9*(1+$K$6)&lt;'Locality and Max Pay'!$D$7,D9*(1+$K$6),'Locality and Max Pay'!$D$7)</f>
        <v>45102.700899999996</v>
      </c>
      <c r="E11" s="8">
        <f>IF(E9*(1+$K$6)&lt;'Locality and Max Pay'!$D$7,E9*(1+$K$6),'Locality and Max Pay'!$D$7)</f>
        <v>53086.356999999996</v>
      </c>
      <c r="F11" s="8">
        <f>IF(F9*(1+$K$6)&lt;'Locality and Max Pay'!$D$7,F9*(1+$K$6),'Locality and Max Pay'!$D$7)</f>
        <v>64798.981499999994</v>
      </c>
      <c r="G11" s="8">
        <f>IF(G9*(1+$K$6)&lt;'Locality and Max Pay'!$D$7,G9*(1+$K$6),'Locality and Max Pay'!$D$7)</f>
        <v>71571.85209999999</v>
      </c>
      <c r="H11" s="8">
        <f>IF(H9*(1+$K$6)&lt;'Locality and Max Pay'!$D$7,H9*(1+$K$6),'Locality and Max Pay'!$D$7)</f>
        <v>86595.6299</v>
      </c>
      <c r="I11" s="8">
        <f>IF(I9*(1+$K$6)&lt;'Locality and Max Pay'!$D$7,I9*(1+$K$6),'Locality and Max Pay'!$D$7)</f>
        <v>104029.68639999999</v>
      </c>
      <c r="J11" s="8">
        <f>IF(J9*(1+$K$6)&lt;'Locality and Max Pay'!$D$7,J9*(1+$K$6),'Locality and Max Pay'!$D$7)</f>
        <v>125113.66519999999</v>
      </c>
      <c r="K11" s="8">
        <f>IF(K9*(1+$K$6)&lt;'Locality and Max Pay'!$D$7,K9*(1+$K$6),'Locality and Max Pay'!$D$7)</f>
        <v>153004.3915</v>
      </c>
      <c r="L11" s="8">
        <f>IF(L9*(1+$K$6)&lt;'Locality and Max Pay'!$D$7,L9*(1+$K$6),'Locality and Max Pay'!$D$7)</f>
        <v>181568.89169999998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  <row r="204" s="22" customFormat="1" ht="12.75" hidden="1"/>
    <row r="205" s="22" customFormat="1" ht="12.75" hidden="1"/>
    <row r="206" s="22" customFormat="1" ht="12.75" hidden="1"/>
    <row r="207" s="22" customFormat="1" ht="12.75" hidden="1"/>
    <row r="208" s="22" customFormat="1" ht="12.75" hidden="1"/>
    <row r="209" s="22" customFormat="1" ht="12.75" hidden="1"/>
    <row r="210" s="22" customFormat="1" ht="12.75" hidden="1"/>
    <row r="211" s="22" customFormat="1" ht="12.75" hidden="1"/>
    <row r="212" s="22" customFormat="1" ht="12.75" hidden="1"/>
    <row r="213" s="22" customFormat="1" ht="12.75" hidden="1"/>
    <row r="214" s="22" customFormat="1" ht="12.75" hidden="1"/>
    <row r="215" s="22" customFormat="1" ht="12.75" hidden="1"/>
    <row r="216" s="22" customFormat="1" ht="12.75" hidden="1"/>
    <row r="217" s="22" customFormat="1" ht="12.75" hidden="1"/>
    <row r="218" s="22" customFormat="1" ht="12.75" hidden="1"/>
    <row r="219" s="22" customFormat="1" ht="12.75" hidden="1"/>
    <row r="220" s="22" customFormat="1" ht="12.75" hidden="1"/>
    <row r="221" s="22" customFormat="1" ht="12.75" hidden="1"/>
    <row r="222" s="22" customFormat="1" ht="12.75" hidden="1"/>
    <row r="223" s="22" customFormat="1" ht="12.75" hidden="1"/>
    <row r="224" s="22" customFormat="1" ht="12.75" hidden="1"/>
    <row r="225" s="22" customFormat="1" ht="12.75" hidden="1"/>
    <row r="226" s="22" customFormat="1" ht="12.75" hidden="1"/>
    <row r="227" s="22" customFormat="1" ht="12.75" hidden="1"/>
    <row r="228" s="22" customFormat="1" ht="12.75" hidden="1"/>
    <row r="229" s="22" customFormat="1" ht="12.75" hidden="1"/>
    <row r="230" s="22" customFormat="1" ht="12.75" hidden="1"/>
    <row r="231" s="22" customFormat="1" ht="12.75" hidden="1"/>
    <row r="232" s="22" customFormat="1" ht="12.75" hidden="1"/>
    <row r="233" s="22" customFormat="1" ht="12.75" hidden="1"/>
    <row r="234" s="22" customFormat="1" ht="12.75" hidden="1"/>
    <row r="235" s="22" customFormat="1" ht="12.75" hidden="1"/>
    <row r="236" s="22" customFormat="1" ht="12.75" hidden="1"/>
    <row r="237" s="22" customFormat="1" ht="12.75" hidden="1"/>
    <row r="238" s="22" customFormat="1" ht="12.75" hidden="1"/>
    <row r="239" s="22" customFormat="1" ht="12.75" hidden="1"/>
    <row r="240" s="22" customFormat="1" ht="12.75" hidden="1"/>
    <row r="241" s="22" customFormat="1" ht="12.75" hidden="1"/>
    <row r="242" s="22" customFormat="1" ht="12.75" hidden="1"/>
    <row r="243" s="22" customFormat="1" ht="12.75" hidden="1"/>
    <row r="244" s="22" customFormat="1" ht="12.75" hidden="1"/>
    <row r="245" s="22" customFormat="1" ht="12.75" hidden="1"/>
    <row r="246" s="22" customFormat="1" ht="12.75" hidden="1"/>
    <row r="247" s="22" customFormat="1" ht="12.75" hidden="1"/>
    <row r="248" s="22" customFormat="1" ht="12.75" hidden="1"/>
    <row r="249" s="22" customFormat="1" ht="12.75" hidden="1"/>
    <row r="250" s="22" customFormat="1" ht="12.75" hidden="1"/>
    <row r="251" s="22" customFormat="1" ht="12.75" hidden="1"/>
    <row r="252" s="22" customFormat="1" ht="12.75" hidden="1"/>
    <row r="253" s="22" customFormat="1" ht="12.75" hidden="1"/>
    <row r="254" s="22" customFormat="1" ht="12.75" hidden="1"/>
    <row r="255" s="22" customFormat="1" ht="12.75" hidden="1"/>
    <row r="256" s="22" customFormat="1" ht="12.75" hidden="1"/>
    <row r="257" s="22" customFormat="1" ht="12.75" hidden="1"/>
    <row r="258" s="22" customFormat="1" ht="12.75" hidden="1"/>
    <row r="259" s="22" customFormat="1" ht="12.75" hidden="1"/>
    <row r="260" s="22" customFormat="1" ht="12.75" hidden="1"/>
    <row r="261" s="22" customFormat="1" ht="12.75" hidden="1"/>
    <row r="262" s="22" customFormat="1" ht="12.75" hidden="1"/>
    <row r="263" s="22" customFormat="1" ht="12.75" hidden="1"/>
    <row r="264" s="22" customFormat="1" ht="12.75" hidden="1"/>
    <row r="265" s="22" customFormat="1" ht="12.75" hidden="1"/>
    <row r="266" s="22" customFormat="1" ht="12.75" hidden="1"/>
    <row r="267" s="22" customFormat="1" ht="12.75" hidden="1"/>
    <row r="268" s="22" customFormat="1" ht="12.75" hidden="1"/>
    <row r="269" s="22" customFormat="1" ht="12.75" hidden="1"/>
    <row r="270" s="22" customFormat="1" ht="12.75" hidden="1"/>
    <row r="271" s="22" customFormat="1" ht="12.75" hidden="1"/>
    <row r="272" s="22" customFormat="1" ht="12.75" hidden="1"/>
    <row r="273" s="22" customFormat="1" ht="12.75" hidden="1"/>
    <row r="274" s="22" customFormat="1" ht="12.75" hidden="1"/>
    <row r="275" s="22" customFormat="1" ht="12.75" hidden="1"/>
    <row r="276" s="22" customFormat="1" ht="12.75" hidden="1"/>
    <row r="277" s="22" customFormat="1" ht="12.75" hidden="1"/>
    <row r="278" s="22" customFormat="1" ht="12.75" hidden="1"/>
    <row r="279" s="22" customFormat="1" ht="12.75" hidden="1"/>
    <row r="280" s="22" customFormat="1" ht="12.75" hidden="1"/>
    <row r="281" s="22" customFormat="1" ht="12.75" hidden="1"/>
    <row r="282" s="22" customFormat="1" ht="12.75" hidden="1"/>
    <row r="283" s="22" customFormat="1" ht="12.75" hidden="1"/>
    <row r="284" s="22" customFormat="1" ht="12.75" hidden="1"/>
    <row r="285" s="22" customFormat="1" ht="12.75" hidden="1"/>
    <row r="286" s="22" customFormat="1" ht="12.75" hidden="1"/>
    <row r="287" s="22" customFormat="1" ht="12.75" hidden="1"/>
    <row r="288" s="22" customFormat="1" ht="12.75" hidden="1"/>
    <row r="289" s="22" customFormat="1" ht="12.75" hidden="1"/>
    <row r="290" s="22" customFormat="1" ht="12.75" hidden="1"/>
    <row r="291" s="22" customFormat="1" ht="12.75" hidden="1"/>
    <row r="292" s="22" customFormat="1" ht="12.75" hidden="1"/>
    <row r="293" s="22" customFormat="1" ht="12.75" hidden="1"/>
    <row r="294" s="22" customFormat="1" ht="12.75" hidden="1"/>
    <row r="295" s="22" customFormat="1" ht="12.75" hidden="1"/>
    <row r="296" s="22" customFormat="1" ht="12.75" hidden="1"/>
    <row r="297" s="22" customFormat="1" ht="12.75" hidden="1"/>
    <row r="298" s="22" customFormat="1" ht="12.75" hidden="1"/>
    <row r="299" s="22" customFormat="1" ht="12.75" hidden="1"/>
    <row r="300" s="22" customFormat="1" ht="12.75" hidden="1"/>
    <row r="301" s="22" customFormat="1" ht="12.75" hidden="1"/>
    <row r="302" s="22" customFormat="1" ht="12.75" hidden="1"/>
    <row r="303" s="22" customFormat="1" ht="12.75" hidden="1"/>
    <row r="304" s="22" customFormat="1" ht="12.75" hidden="1"/>
    <row r="305" s="22" customFormat="1" ht="12.75" hidden="1"/>
    <row r="306" s="22" customFormat="1" ht="12.75" hidden="1"/>
    <row r="307" s="22" customFormat="1" ht="12.75" hidden="1"/>
    <row r="308" s="22" customFormat="1" ht="12.75" hidden="1"/>
    <row r="309" s="22" customFormat="1" ht="12.75" hidden="1"/>
    <row r="310" s="22" customFormat="1" ht="12.75" hidden="1"/>
    <row r="311" s="22" customFormat="1" ht="12.75" hidden="1"/>
    <row r="312" s="22" customFormat="1" ht="12.75" hidden="1"/>
    <row r="313" s="22" customFormat="1" ht="12.75" hidden="1"/>
    <row r="314" s="22" customFormat="1" ht="12.75" hidden="1"/>
    <row r="315" s="22" customFormat="1" ht="12.75" hidden="1"/>
    <row r="316" s="22" customFormat="1" ht="12.75" hidden="1"/>
    <row r="317" s="22" customFormat="1" ht="12.75" hidden="1"/>
    <row r="318" s="22" customFormat="1" ht="12.75" hidden="1"/>
    <row r="319" s="22" customFormat="1" ht="12.75" hidden="1"/>
    <row r="320" s="22" customFormat="1" ht="12.75" hidden="1"/>
    <row r="321" s="22" customFormat="1" ht="12.75" hidden="1"/>
    <row r="322" s="22" customFormat="1" ht="12.75" hidden="1"/>
    <row r="323" s="22" customFormat="1" ht="12.75" hidden="1"/>
    <row r="324" s="22" customFormat="1" ht="12.75" hidden="1"/>
    <row r="325" s="22" customFormat="1" ht="12.75" hidden="1"/>
    <row r="326" s="22" customFormat="1" ht="12.75" hidden="1"/>
    <row r="327" s="22" customFormat="1" ht="12.75" hidden="1"/>
    <row r="328" s="22" customFormat="1" ht="12.75" hidden="1"/>
    <row r="329" s="22" customFormat="1" ht="12.75" hidden="1"/>
    <row r="330" s="22" customFormat="1" ht="12.75" hidden="1"/>
    <row r="331" s="22" customFormat="1" ht="12.75" hidden="1"/>
    <row r="332" s="22" customFormat="1" ht="12.75" hidden="1"/>
    <row r="333" s="22" customFormat="1" ht="12.75" hidden="1"/>
    <row r="334" s="22" customFormat="1" ht="12.75" hidden="1"/>
    <row r="335" s="22" customFormat="1" ht="12.75" hidden="1"/>
    <row r="336" s="22" customFormat="1" ht="12.75" hidden="1"/>
    <row r="337" s="22" customFormat="1" ht="12.75" hidden="1"/>
    <row r="338" s="22" customFormat="1" ht="12.75" hidden="1"/>
    <row r="339" s="22" customFormat="1" ht="12.75" hidden="1"/>
    <row r="340" s="22" customFormat="1" ht="12.75" hidden="1"/>
    <row r="341" s="22" customFormat="1" ht="12.75" hidden="1"/>
    <row r="342" s="22" customFormat="1" ht="12.75" hidden="1"/>
    <row r="343" ht="12.75"/>
    <row r="344" ht="12.75"/>
    <row r="345" ht="12.75"/>
    <row r="346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126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0.2625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23428.212499999998</v>
      </c>
      <c r="C10" s="8">
        <f>IF(C8*(1+$K$6)&lt;'Locality and Max Pay'!$D$7,C8*(1+$K$6),'Locality and Max Pay'!$D$7)</f>
        <v>26775.1</v>
      </c>
      <c r="D10" s="8">
        <f>IF(D8*(1+$K$6)&lt;'Locality and Max Pay'!$D$7,D8*(1+$K$6),'Locality and Max Pay'!$D$7)</f>
        <v>30255.8125</v>
      </c>
      <c r="E10" s="8">
        <f>IF(E8*(1+$K$6)&lt;'Locality and Max Pay'!$D$7,E8*(1+$K$6),'Locality and Max Pay'!$D$7)</f>
        <v>35610.075</v>
      </c>
      <c r="F10" s="8">
        <f>IF(F8*(1+$K$6)&lt;'Locality and Max Pay'!$D$7,F8*(1+$K$6),'Locality and Max Pay'!$D$7)</f>
        <v>43467.875</v>
      </c>
      <c r="G10" s="8">
        <f>IF(G8*(1+$K$6)&lt;'Locality and Max Pay'!$D$7,G8*(1+$K$6),'Locality and Max Pay'!$D$7)</f>
        <v>48010.35</v>
      </c>
      <c r="H10" s="8">
        <f>IF(H8*(1+$K$6)&lt;'Locality and Max Pay'!$D$7,H8*(1+$K$6),'Locality and Max Pay'!$D$7)</f>
        <v>56211.549999999996</v>
      </c>
      <c r="I10" s="8">
        <f>IF(I8*(1+$K$6)&lt;'Locality and Max Pay'!$D$7,I8*(1+$K$6),'Locality and Max Pay'!$D$7)</f>
        <v>67531.125</v>
      </c>
      <c r="J10" s="8">
        <f>IF(J8*(1+$K$6)&lt;'Locality and Max Pay'!$D$7,J8*(1+$K$6),'Locality and Max Pay'!$D$7)</f>
        <v>81227.9875</v>
      </c>
      <c r="K10" s="8">
        <f>IF(K8*(1+$K$6)&lt;'Locality and Max Pay'!$D$7,K8*(1+$K$6),'Locality and Max Pay'!$D$7)</f>
        <v>99308.25</v>
      </c>
      <c r="L10" s="8">
        <f>IF(L8*(1+$K$6)&lt;'Locality and Max Pay'!$D$7,L8*(1+$K$6),'Locality and Max Pay'!$D$7)</f>
        <v>117908.66249999999</v>
      </c>
      <c r="M10" s="8">
        <f>IF(M8*(1+$K$6)&lt;'Locality and Max Pay'!$D$7,M8*(1+$K$6),'Locality and Max Pay'!$D$7)</f>
        <v>140836.925</v>
      </c>
      <c r="N10" s="8">
        <f>IF(N8*(1+$K$6)&lt;'Locality and Max Pay'!$D$7,N8*(1+$K$6),'Locality and Max Pay'!$D$7)</f>
        <v>165871.0375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34005.4375</v>
      </c>
      <c r="C11" s="8">
        <f>IF(C9*(1+$K$6)&lt;'Locality and Max Pay'!$D$7,C9*(1+$K$6),'Locality and Max Pay'!$D$7)</f>
        <v>38824.4</v>
      </c>
      <c r="D11" s="8">
        <f>IF(D9*(1+$K$6)&lt;'Locality and Max Pay'!$D$7,D9*(1+$K$6),'Locality and Max Pay'!$D$7)</f>
        <v>45383.0875</v>
      </c>
      <c r="E11" s="8">
        <f>IF(E9*(1+$K$6)&lt;'Locality and Max Pay'!$D$7,E9*(1+$K$6),'Locality and Max Pay'!$D$7)</f>
        <v>53416.375</v>
      </c>
      <c r="F11" s="8">
        <f>IF(F9*(1+$K$6)&lt;'Locality and Max Pay'!$D$7,F9*(1+$K$6),'Locality and Max Pay'!$D$7)</f>
        <v>65201.8125</v>
      </c>
      <c r="G11" s="8">
        <f>IF(G9*(1+$K$6)&lt;'Locality and Max Pay'!$D$7,G9*(1+$K$6),'Locality and Max Pay'!$D$7)</f>
        <v>72016.78749999999</v>
      </c>
      <c r="H11" s="8">
        <f>IF(H9*(1+$K$6)&lt;'Locality and Max Pay'!$D$7,H9*(1+$K$6),'Locality and Max Pay'!$D$7)</f>
        <v>87133.9625</v>
      </c>
      <c r="I11" s="8">
        <f>IF(I9*(1+$K$6)&lt;'Locality and Max Pay'!$D$7,I9*(1+$K$6),'Locality and Max Pay'!$D$7)</f>
        <v>104676.4</v>
      </c>
      <c r="J11" s="8">
        <f>IF(J9*(1+$K$6)&lt;'Locality and Max Pay'!$D$7,J9*(1+$K$6),'Locality and Max Pay'!$D$7)</f>
        <v>125891.45</v>
      </c>
      <c r="K11" s="8">
        <f>IF(K9*(1+$K$6)&lt;'Locality and Max Pay'!$D$7,K9*(1+$K$6),'Locality and Max Pay'!$D$7)</f>
        <v>153955.5625</v>
      </c>
      <c r="L11" s="8">
        <f>IF(L9*(1+$K$6)&lt;'Locality and Max Pay'!$D$7,L9*(1+$K$6),'Locality and Max Pay'!$D$7)</f>
        <v>182697.63749999998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161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0.1615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21553.9555</v>
      </c>
      <c r="C10" s="8">
        <f>IF(C8*(1+$K$6)&lt;'Locality and Max Pay'!$D$7,C8*(1+$K$6),'Locality and Max Pay'!$D$7)</f>
        <v>24633.092</v>
      </c>
      <c r="D10" s="8">
        <f>IF(D8*(1+$K$6)&lt;'Locality and Max Pay'!$D$7,D8*(1+$K$6),'Locality and Max Pay'!$D$7)</f>
        <v>27835.3475</v>
      </c>
      <c r="E10" s="8">
        <f>IF(E8*(1+$K$6)&lt;'Locality and Max Pay'!$D$7,E8*(1+$K$6),'Locality and Max Pay'!$D$7)</f>
        <v>32761.269</v>
      </c>
      <c r="F10" s="8">
        <f>IF(F8*(1+$K$6)&lt;'Locality and Max Pay'!$D$7,F8*(1+$K$6),'Locality and Max Pay'!$D$7)</f>
        <v>39990.445</v>
      </c>
      <c r="G10" s="8">
        <f>IF(G8*(1+$K$6)&lt;'Locality and Max Pay'!$D$7,G8*(1+$K$6),'Locality and Max Pay'!$D$7)</f>
        <v>44169.522</v>
      </c>
      <c r="H10" s="8">
        <f>IF(H8*(1+$K$6)&lt;'Locality and Max Pay'!$D$7,H8*(1+$K$6),'Locality and Max Pay'!$D$7)</f>
        <v>51714.626</v>
      </c>
      <c r="I10" s="8">
        <f>IF(I8*(1+$K$6)&lt;'Locality and Max Pay'!$D$7,I8*(1+$K$6),'Locality and Max Pay'!$D$7)</f>
        <v>62128.635</v>
      </c>
      <c r="J10" s="8">
        <f>IF(J8*(1+$K$6)&lt;'Locality and Max Pay'!$D$7,J8*(1+$K$6),'Locality and Max Pay'!$D$7)</f>
        <v>74729.7485</v>
      </c>
      <c r="K10" s="8">
        <f>IF(K8*(1+$K$6)&lt;'Locality and Max Pay'!$D$7,K8*(1+$K$6),'Locality and Max Pay'!$D$7)</f>
        <v>91363.59</v>
      </c>
      <c r="L10" s="8">
        <f>IF(L8*(1+$K$6)&lt;'Locality and Max Pay'!$D$7,L8*(1+$K$6),'Locality and Max Pay'!$D$7)</f>
        <v>108475.96949999999</v>
      </c>
      <c r="M10" s="8">
        <f>IF(M8*(1+$K$6)&lt;'Locality and Max Pay'!$D$7,M8*(1+$K$6),'Locality and Max Pay'!$D$7)</f>
        <v>129569.97099999999</v>
      </c>
      <c r="N10" s="8">
        <f>IF(N8*(1+$K$6)&lt;'Locality and Max Pay'!$D$7,N8*(1+$K$6),'Locality and Max Pay'!$D$7)</f>
        <v>152601.3545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31285.0025</v>
      </c>
      <c r="C11" s="8">
        <f>IF(C9*(1+$K$6)&lt;'Locality and Max Pay'!$D$7,C9*(1+$K$6),'Locality and Max Pay'!$D$7)</f>
        <v>35718.448</v>
      </c>
      <c r="D11" s="8">
        <f>IF(D9*(1+$K$6)&lt;'Locality and Max Pay'!$D$7,D9*(1+$K$6),'Locality and Max Pay'!$D$7)</f>
        <v>41752.4405</v>
      </c>
      <c r="E11" s="8">
        <f>IF(E9*(1+$K$6)&lt;'Locality and Max Pay'!$D$7,E9*(1+$K$6),'Locality and Max Pay'!$D$7)</f>
        <v>49143.065</v>
      </c>
      <c r="F11" s="8">
        <f>IF(F9*(1+$K$6)&lt;'Locality and Max Pay'!$D$7,F9*(1+$K$6),'Locality and Max Pay'!$D$7)</f>
        <v>59985.667499999996</v>
      </c>
      <c r="G11" s="8">
        <f>IF(G9*(1+$K$6)&lt;'Locality and Max Pay'!$D$7,G9*(1+$K$6),'Locality and Max Pay'!$D$7)</f>
        <v>66255.4445</v>
      </c>
      <c r="H11" s="8">
        <f>IF(H9*(1+$K$6)&lt;'Locality and Max Pay'!$D$7,H9*(1+$K$6),'Locality and Max Pay'!$D$7)</f>
        <v>80163.2455</v>
      </c>
      <c r="I11" s="8">
        <f>IF(I9*(1+$K$6)&lt;'Locality and Max Pay'!$D$7,I9*(1+$K$6),'Locality and Max Pay'!$D$7)</f>
        <v>96302.288</v>
      </c>
      <c r="J11" s="8">
        <f>IF(J9*(1+$K$6)&lt;'Locality and Max Pay'!$D$7,J9*(1+$K$6),'Locality and Max Pay'!$D$7)</f>
        <v>115820.13399999999</v>
      </c>
      <c r="K11" s="8">
        <f>IF(K9*(1+$K$6)&lt;'Locality and Max Pay'!$D$7,K9*(1+$K$6),'Locality and Max Pay'!$D$7)</f>
        <v>141639.1175</v>
      </c>
      <c r="L11" s="8">
        <f>IF(L9*(1+$K$6)&lt;'Locality and Max Pay'!$D$7,L9*(1+$K$6),'Locality and Max Pay'!$D$7)</f>
        <v>168081.8265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108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0.2821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23791.9297</v>
      </c>
      <c r="C10" s="8">
        <f>IF(C8*(1+$K$6)&lt;'Locality and Max Pay'!$D$7,C8*(1+$K$6),'Locality and Max Pay'!$D$7)</f>
        <v>27190.7768</v>
      </c>
      <c r="D10" s="8">
        <f>IF(D8*(1+$K$6)&lt;'Locality and Max Pay'!$D$7,D8*(1+$K$6),'Locality and Max Pay'!$D$7)</f>
        <v>30725.5265</v>
      </c>
      <c r="E10" s="8">
        <f>IF(E8*(1+$K$6)&lt;'Locality and Max Pay'!$D$7,E8*(1+$K$6),'Locality and Max Pay'!$D$7)</f>
        <v>36162.9126</v>
      </c>
      <c r="F10" s="8">
        <f>IF(F8*(1+$K$6)&lt;'Locality and Max Pay'!$D$7,F8*(1+$K$6),'Locality and Max Pay'!$D$7)</f>
        <v>44142.703</v>
      </c>
      <c r="G10" s="8">
        <f>IF(G8*(1+$K$6)&lt;'Locality and Max Pay'!$D$7,G8*(1+$K$6),'Locality and Max Pay'!$D$7)</f>
        <v>48755.6988</v>
      </c>
      <c r="H10" s="8">
        <f>IF(H8*(1+$K$6)&lt;'Locality and Max Pay'!$D$7,H8*(1+$K$6),'Locality and Max Pay'!$D$7)</f>
        <v>57084.2204</v>
      </c>
      <c r="I10" s="8">
        <f>IF(I8*(1+$K$6)&lt;'Locality and Max Pay'!$D$7,I8*(1+$K$6),'Locality and Max Pay'!$D$7)</f>
        <v>68579.529</v>
      </c>
      <c r="J10" s="8">
        <f>IF(J8*(1+$K$6)&lt;'Locality and Max Pay'!$D$7,J8*(1+$K$6),'Locality and Max Pay'!$D$7)</f>
        <v>82489.0319</v>
      </c>
      <c r="K10" s="8">
        <f>IF(K8*(1+$K$6)&lt;'Locality and Max Pay'!$D$7,K8*(1+$K$6),'Locality and Max Pay'!$D$7)</f>
        <v>100849.986</v>
      </c>
      <c r="L10" s="8">
        <f>IF(L8*(1+$K$6)&lt;'Locality and Max Pay'!$D$7,L8*(1+$K$6),'Locality and Max Pay'!$D$7)</f>
        <v>119739.16530000001</v>
      </c>
      <c r="M10" s="8">
        <f>IF(M8*(1+$K$6)&lt;'Locality and Max Pay'!$D$7,M8*(1+$K$6),'Locality and Max Pay'!$D$7)</f>
        <v>143023.3834</v>
      </c>
      <c r="N10" s="8">
        <f>IF(N8*(1+$K$6)&lt;'Locality and Max Pay'!$D$7,N8*(1+$K$6),'Locality and Max Pay'!$D$7)</f>
        <v>168446.1443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34533.3635</v>
      </c>
      <c r="C11" s="8">
        <f>IF(C9*(1+$K$6)&lt;'Locality and Max Pay'!$D$7,C9*(1+$K$6),'Locality and Max Pay'!$D$7)</f>
        <v>39427.1392</v>
      </c>
      <c r="D11" s="8">
        <f>IF(D9*(1+$K$6)&lt;'Locality and Max Pay'!$D$7,D9*(1+$K$6),'Locality and Max Pay'!$D$7)</f>
        <v>46087.6487</v>
      </c>
      <c r="E11" s="8">
        <f>IF(E9*(1+$K$6)&lt;'Locality and Max Pay'!$D$7,E9*(1+$K$6),'Locality and Max Pay'!$D$7)</f>
        <v>54245.651</v>
      </c>
      <c r="F11" s="8">
        <f>IF(F9*(1+$K$6)&lt;'Locality and Max Pay'!$D$7,F9*(1+$K$6),'Locality and Max Pay'!$D$7)</f>
        <v>66214.0545</v>
      </c>
      <c r="G11" s="8">
        <f>IF(G9*(1+$K$6)&lt;'Locality and Max Pay'!$D$7,G9*(1+$K$6),'Locality and Max Pay'!$D$7)</f>
        <v>73134.8303</v>
      </c>
      <c r="H11" s="8">
        <f>IF(H9*(1+$K$6)&lt;'Locality and Max Pay'!$D$7,H9*(1+$K$6),'Locality and Max Pay'!$D$7)</f>
        <v>88486.6957</v>
      </c>
      <c r="I11" s="8">
        <f>IF(I9*(1+$K$6)&lt;'Locality and Max Pay'!$D$7,I9*(1+$K$6),'Locality and Max Pay'!$D$7)</f>
        <v>106301.4752</v>
      </c>
      <c r="J11" s="8">
        <f>IF(J9*(1+$K$6)&lt;'Locality and Max Pay'!$D$7,J9*(1+$K$6),'Locality and Max Pay'!$D$7)</f>
        <v>127845.8836</v>
      </c>
      <c r="K11" s="8">
        <f>IF(K9*(1+$K$6)&lt;'Locality and Max Pay'!$D$7,K9*(1+$K$6),'Locality and Max Pay'!$D$7)</f>
        <v>156345.6845</v>
      </c>
      <c r="L11" s="8">
        <f>IF(L9*(1+$K$6)&lt;'Locality and Max Pay'!$D$7,L9*(1+$K$6),'Locality and Max Pay'!$D$7)</f>
        <v>185533.9731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116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0.1843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21977.055099999998</v>
      </c>
      <c r="C10" s="8">
        <f>IF(C8*(1+$K$6)&lt;'Locality and Max Pay'!$D$7,C8*(1+$K$6),'Locality and Max Pay'!$D$7)</f>
        <v>25116.6344</v>
      </c>
      <c r="D10" s="8">
        <f>IF(D8*(1+$K$6)&lt;'Locality and Max Pay'!$D$7,D8*(1+$K$6),'Locality and Max Pay'!$D$7)</f>
        <v>28381.749499999998</v>
      </c>
      <c r="E10" s="8">
        <f>IF(E8*(1+$K$6)&lt;'Locality and Max Pay'!$D$7,E8*(1+$K$6),'Locality and Max Pay'!$D$7)</f>
        <v>33404.3658</v>
      </c>
      <c r="F10" s="8">
        <f>IF(F8*(1+$K$6)&lt;'Locality and Max Pay'!$D$7,F8*(1+$K$6),'Locality and Max Pay'!$D$7)</f>
        <v>40775.44899999999</v>
      </c>
      <c r="G10" s="8">
        <f>IF(G8*(1+$K$6)&lt;'Locality and Max Pay'!$D$7,G8*(1+$K$6),'Locality and Max Pay'!$D$7)</f>
        <v>45036.560399999995</v>
      </c>
      <c r="H10" s="8">
        <f>IF(H8*(1+$K$6)&lt;'Locality and Max Pay'!$D$7,H8*(1+$K$6),'Locality and Max Pay'!$D$7)</f>
        <v>52729.773199999996</v>
      </c>
      <c r="I10" s="8">
        <f>IF(I8*(1+$K$6)&lt;'Locality and Max Pay'!$D$7,I8*(1+$K$6),'Locality and Max Pay'!$D$7)</f>
        <v>63348.206999999995</v>
      </c>
      <c r="J10" s="8">
        <f>IF(J8*(1+$K$6)&lt;'Locality and Max Pay'!$D$7,J8*(1+$K$6),'Locality and Max Pay'!$D$7)</f>
        <v>76196.6777</v>
      </c>
      <c r="K10" s="8">
        <f>IF(K8*(1+$K$6)&lt;'Locality and Max Pay'!$D$7,K8*(1+$K$6),'Locality and Max Pay'!$D$7)</f>
        <v>93157.03799999999</v>
      </c>
      <c r="L10" s="8">
        <f>IF(L8*(1+$K$6)&lt;'Locality and Max Pay'!$D$7,L8*(1+$K$6),'Locality and Max Pay'!$D$7)</f>
        <v>110605.3299</v>
      </c>
      <c r="M10" s="8">
        <f>IF(M8*(1+$K$6)&lt;'Locality and Max Pay'!$D$7,M8*(1+$K$6),'Locality and Max Pay'!$D$7)</f>
        <v>132113.40219999998</v>
      </c>
      <c r="N10" s="8">
        <f>IF(N8*(1+$K$6)&lt;'Locality and Max Pay'!$D$7,N8*(1+$K$6),'Locality and Max Pay'!$D$7)</f>
        <v>155596.88689999998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31899.120499999997</v>
      </c>
      <c r="C11" s="8">
        <f>IF(C9*(1+$K$6)&lt;'Locality and Max Pay'!$D$7,C9*(1+$K$6),'Locality and Max Pay'!$D$7)</f>
        <v>36419.5936</v>
      </c>
      <c r="D11" s="8">
        <f>IF(D9*(1+$K$6)&lt;'Locality and Max Pay'!$D$7,D9*(1+$K$6),'Locality and Max Pay'!$D$7)</f>
        <v>42572.0321</v>
      </c>
      <c r="E11" s="8">
        <f>IF(E9*(1+$K$6)&lt;'Locality and Max Pay'!$D$7,E9*(1+$K$6),'Locality and Max Pay'!$D$7)</f>
        <v>50107.73299999999</v>
      </c>
      <c r="F11" s="8">
        <f>IF(F9*(1+$K$6)&lt;'Locality and Max Pay'!$D$7,F9*(1+$K$6),'Locality and Max Pay'!$D$7)</f>
        <v>61163.1735</v>
      </c>
      <c r="G11" s="8">
        <f>IF(G9*(1+$K$6)&lt;'Locality and Max Pay'!$D$7,G9*(1+$K$6),'Locality and Max Pay'!$D$7)</f>
        <v>67556.02489999999</v>
      </c>
      <c r="H11" s="8">
        <f>IF(H9*(1+$K$6)&lt;'Locality and Max Pay'!$D$7,H9*(1+$K$6),'Locality and Max Pay'!$D$7)</f>
        <v>81736.83309999999</v>
      </c>
      <c r="I11" s="8">
        <f>IF(I9*(1+$K$6)&lt;'Locality and Max Pay'!$D$7,I9*(1+$K$6),'Locality and Max Pay'!$D$7)</f>
        <v>98192.6816</v>
      </c>
      <c r="J11" s="8">
        <f>IF(J9*(1+$K$6)&lt;'Locality and Max Pay'!$D$7,J9*(1+$K$6),'Locality and Max Pay'!$D$7)</f>
        <v>118093.65879999999</v>
      </c>
      <c r="K11" s="8">
        <f>IF(K9*(1+$K$6)&lt;'Locality and Max Pay'!$D$7,K9*(1+$K$6),'Locality and Max Pay'!$D$7)</f>
        <v>144419.46349999998</v>
      </c>
      <c r="L11" s="8">
        <f>IF(L9*(1+$K$6)&lt;'Locality and Max Pay'!$D$7,L9*(1+$K$6),'Locality and Max Pay'!$D$7)</f>
        <v>171381.23729999998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50:A51"/>
    <mergeCell ref="A53:A56"/>
    <mergeCell ref="A58:A61"/>
    <mergeCell ref="A63:A66"/>
    <mergeCell ref="A87:N87"/>
    <mergeCell ref="A68:A71"/>
    <mergeCell ref="A73:A76"/>
    <mergeCell ref="A78:A81"/>
    <mergeCell ref="A83:A86"/>
    <mergeCell ref="A2:N2"/>
    <mergeCell ref="A45:A48"/>
    <mergeCell ref="B6:H6"/>
    <mergeCell ref="A25:A28"/>
    <mergeCell ref="A30:A33"/>
    <mergeCell ref="A35:A38"/>
    <mergeCell ref="A40:A43"/>
    <mergeCell ref="A13:A14"/>
    <mergeCell ref="A16:A18"/>
    <mergeCell ref="A20:A23"/>
    <mergeCell ref="A4:N4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127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0.3174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24446.991800000003</v>
      </c>
      <c r="C10" s="8">
        <f>IF(C8*(1+$K$6)&lt;'Locality and Max Pay'!$D$7,C8*(1+$K$6),'Locality and Max Pay'!$D$7)</f>
        <v>27939.419200000004</v>
      </c>
      <c r="D10" s="8">
        <f>IF(D8*(1+$K$6)&lt;'Locality and Max Pay'!$D$7,D8*(1+$K$6),'Locality and Max Pay'!$D$7)</f>
        <v>31571.491</v>
      </c>
      <c r="E10" s="8">
        <f>IF(E8*(1+$K$6)&lt;'Locality and Max Pay'!$D$7,E8*(1+$K$6),'Locality and Max Pay'!$D$7)</f>
        <v>37158.58440000001</v>
      </c>
      <c r="F10" s="8">
        <f>IF(F8*(1+$K$6)&lt;'Locality and Max Pay'!$D$7,F8*(1+$K$6),'Locality and Max Pay'!$D$7)</f>
        <v>45358.082</v>
      </c>
      <c r="G10" s="8">
        <f>IF(G8*(1+$K$6)&lt;'Locality and Max Pay'!$D$7,G8*(1+$K$6),'Locality and Max Pay'!$D$7)</f>
        <v>50098.0872</v>
      </c>
      <c r="H10" s="8">
        <f>IF(H8*(1+$K$6)&lt;'Locality and Max Pay'!$D$7,H8*(1+$K$6),'Locality and Max Pay'!$D$7)</f>
        <v>58655.91760000001</v>
      </c>
      <c r="I10" s="8">
        <f>IF(I8*(1+$K$6)&lt;'Locality and Max Pay'!$D$7,I8*(1+$K$6),'Locality and Max Pay'!$D$7)</f>
        <v>70467.72600000001</v>
      </c>
      <c r="J10" s="8">
        <f>IF(J8*(1+$K$6)&lt;'Locality and Max Pay'!$D$7,J8*(1+$K$6),'Locality and Max Pay'!$D$7)</f>
        <v>84760.1986</v>
      </c>
      <c r="K10" s="8">
        <f>IF(K8*(1+$K$6)&lt;'Locality and Max Pay'!$D$7,K8*(1+$K$6),'Locality and Max Pay'!$D$7)</f>
        <v>103626.68400000001</v>
      </c>
      <c r="L10" s="8">
        <f>IF(L8*(1+$K$6)&lt;'Locality and Max Pay'!$D$7,L8*(1+$K$6),'Locality and Max Pay'!$D$7)</f>
        <v>123035.93820000002</v>
      </c>
      <c r="M10" s="8">
        <f>IF(M8*(1+$K$6)&lt;'Locality and Max Pay'!$D$7,M8*(1+$K$6),'Locality and Max Pay'!$D$7)</f>
        <v>146961.2396</v>
      </c>
      <c r="N10" s="8">
        <f>IF(N8*(1+$K$6)&lt;'Locality and Max Pay'!$D$7,N8*(1+$K$6),'Locality and Max Pay'!$D$7)</f>
        <v>173083.96420000002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35484.169</v>
      </c>
      <c r="C11" s="8">
        <f>IF(C9*(1+$K$6)&lt;'Locality and Max Pay'!$D$7,C9*(1+$K$6),'Locality and Max Pay'!$D$7)</f>
        <v>40512.6848</v>
      </c>
      <c r="D11" s="8">
        <f>IF(D9*(1+$K$6)&lt;'Locality and Max Pay'!$D$7,D9*(1+$K$6),'Locality and Max Pay'!$D$7)</f>
        <v>47356.57780000001</v>
      </c>
      <c r="E11" s="8">
        <f>IF(E9*(1+$K$6)&lt;'Locality and Max Pay'!$D$7,E9*(1+$K$6),'Locality and Max Pay'!$D$7)</f>
        <v>55739.194</v>
      </c>
      <c r="F11" s="8">
        <f>IF(F9*(1+$K$6)&lt;'Locality and Max Pay'!$D$7,F9*(1+$K$6),'Locality and Max Pay'!$D$7)</f>
        <v>68037.123</v>
      </c>
      <c r="G11" s="8">
        <f>IF(G9*(1+$K$6)&lt;'Locality and Max Pay'!$D$7,G9*(1+$K$6),'Locality and Max Pay'!$D$7)</f>
        <v>75148.44820000001</v>
      </c>
      <c r="H11" s="8">
        <f>IF(H9*(1+$K$6)&lt;'Locality and Max Pay'!$D$7,H9*(1+$K$6),'Locality and Max Pay'!$D$7)</f>
        <v>90922.9958</v>
      </c>
      <c r="I11" s="8">
        <f>IF(I9*(1+$K$6)&lt;'Locality and Max Pay'!$D$7,I9*(1+$K$6),'Locality and Max Pay'!$D$7)</f>
        <v>109228.2688</v>
      </c>
      <c r="J11" s="8">
        <f>IF(J9*(1+$K$6)&lt;'Locality and Max Pay'!$D$7,J9*(1+$K$6),'Locality and Max Pay'!$D$7)</f>
        <v>131365.85840000003</v>
      </c>
      <c r="K11" s="8">
        <f>IF(K9*(1+$K$6)&lt;'Locality and Max Pay'!$D$7,K9*(1+$K$6),'Locality and Max Pay'!$D$7)</f>
        <v>160650.34300000002</v>
      </c>
      <c r="L11" s="8">
        <f>IF(L9*(1+$K$6)&lt;'Locality and Max Pay'!$D$7,L9*(1+$K$6),'Locality and Max Pay'!$D$7)</f>
        <v>189600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128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0.1849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21988.189300000002</v>
      </c>
      <c r="C10" s="8">
        <f>IF(C8*(1+$K$6)&lt;'Locality and Max Pay'!$D$7,C8*(1+$K$6),'Locality and Max Pay'!$D$7)</f>
        <v>25129.359200000003</v>
      </c>
      <c r="D10" s="8">
        <f>IF(D8*(1+$K$6)&lt;'Locality and Max Pay'!$D$7,D8*(1+$K$6),'Locality and Max Pay'!$D$7)</f>
        <v>28396.128500000003</v>
      </c>
      <c r="E10" s="8">
        <f>IF(E8*(1+$K$6)&lt;'Locality and Max Pay'!$D$7,E8*(1+$K$6),'Locality and Max Pay'!$D$7)</f>
        <v>33421.2894</v>
      </c>
      <c r="F10" s="8">
        <f>IF(F8*(1+$K$6)&lt;'Locality and Max Pay'!$D$7,F8*(1+$K$6),'Locality and Max Pay'!$D$7)</f>
        <v>40796.107</v>
      </c>
      <c r="G10" s="8">
        <f>IF(G8*(1+$K$6)&lt;'Locality and Max Pay'!$D$7,G8*(1+$K$6),'Locality and Max Pay'!$D$7)</f>
        <v>45059.3772</v>
      </c>
      <c r="H10" s="8">
        <f>IF(H8*(1+$K$6)&lt;'Locality and Max Pay'!$D$7,H8*(1+$K$6),'Locality and Max Pay'!$D$7)</f>
        <v>52756.4876</v>
      </c>
      <c r="I10" s="8">
        <f>IF(I8*(1+$K$6)&lt;'Locality and Max Pay'!$D$7,I8*(1+$K$6),'Locality and Max Pay'!$D$7)</f>
        <v>63380.30100000001</v>
      </c>
      <c r="J10" s="8">
        <f>IF(J8*(1+$K$6)&lt;'Locality and Max Pay'!$D$7,J8*(1+$K$6),'Locality and Max Pay'!$D$7)</f>
        <v>76235.28110000001</v>
      </c>
      <c r="K10" s="8">
        <f>IF(K8*(1+$K$6)&lt;'Locality and Max Pay'!$D$7,K8*(1+$K$6),'Locality and Max Pay'!$D$7)</f>
        <v>93204.23400000001</v>
      </c>
      <c r="L10" s="8">
        <f>IF(L8*(1+$K$6)&lt;'Locality and Max Pay'!$D$7,L8*(1+$K$6),'Locality and Max Pay'!$D$7)</f>
        <v>110661.36570000001</v>
      </c>
      <c r="M10" s="8">
        <f>IF(M8*(1+$K$6)&lt;'Locality and Max Pay'!$D$7,M8*(1+$K$6),'Locality and Max Pay'!$D$7)</f>
        <v>132180.3346</v>
      </c>
      <c r="N10" s="8">
        <f>IF(N8*(1+$K$6)&lt;'Locality and Max Pay'!$D$7,N8*(1+$K$6),'Locality and Max Pay'!$D$7)</f>
        <v>155675.71670000002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31915.2815</v>
      </c>
      <c r="C11" s="8">
        <f>IF(C9*(1+$K$6)&lt;'Locality and Max Pay'!$D$7,C9*(1+$K$6),'Locality and Max Pay'!$D$7)</f>
        <v>36438.0448</v>
      </c>
      <c r="D11" s="8">
        <f>IF(D9*(1+$K$6)&lt;'Locality and Max Pay'!$D$7,D9*(1+$K$6),'Locality and Max Pay'!$D$7)</f>
        <v>42593.600300000006</v>
      </c>
      <c r="E11" s="8">
        <f>IF(E9*(1+$K$6)&lt;'Locality and Max Pay'!$D$7,E9*(1+$K$6),'Locality and Max Pay'!$D$7)</f>
        <v>50133.119000000006</v>
      </c>
      <c r="F11" s="8">
        <f>IF(F9*(1+$K$6)&lt;'Locality and Max Pay'!$D$7,F9*(1+$K$6),'Locality and Max Pay'!$D$7)</f>
        <v>61194.160500000005</v>
      </c>
      <c r="G11" s="8">
        <f>IF(G9*(1+$K$6)&lt;'Locality and Max Pay'!$D$7,G9*(1+$K$6),'Locality and Max Pay'!$D$7)</f>
        <v>67590.2507</v>
      </c>
      <c r="H11" s="8">
        <f>IF(H9*(1+$K$6)&lt;'Locality and Max Pay'!$D$7,H9*(1+$K$6),'Locality and Max Pay'!$D$7)</f>
        <v>81778.2433</v>
      </c>
      <c r="I11" s="8">
        <f>IF(I9*(1+$K$6)&lt;'Locality and Max Pay'!$D$7,I9*(1+$K$6),'Locality and Max Pay'!$D$7)</f>
        <v>98242.42880000001</v>
      </c>
      <c r="J11" s="8">
        <f>IF(J9*(1+$K$6)&lt;'Locality and Max Pay'!$D$7,J9*(1+$K$6),'Locality and Max Pay'!$D$7)</f>
        <v>118153.4884</v>
      </c>
      <c r="K11" s="8">
        <f>IF(K9*(1+$K$6)&lt;'Locality and Max Pay'!$D$7,K9*(1+$K$6),'Locality and Max Pay'!$D$7)</f>
        <v>144492.6305</v>
      </c>
      <c r="L11" s="8">
        <f>IF(L9*(1+$K$6)&lt;'Locality and Max Pay'!$D$7,L9*(1+$K$6),'Locality and Max Pay'!$D$7)</f>
        <v>171468.0639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129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0.1623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21568.8011</v>
      </c>
      <c r="C10" s="8">
        <f>IF(C8*(1+$K$6)&lt;'Locality and Max Pay'!$D$7,C8*(1+$K$6),'Locality and Max Pay'!$D$7)</f>
        <v>24650.0584</v>
      </c>
      <c r="D10" s="8">
        <f>IF(D8*(1+$K$6)&lt;'Locality and Max Pay'!$D$7,D8*(1+$K$6),'Locality and Max Pay'!$D$7)</f>
        <v>27854.519500000002</v>
      </c>
      <c r="E10" s="8">
        <f>IF(E8*(1+$K$6)&lt;'Locality and Max Pay'!$D$7,E8*(1+$K$6),'Locality and Max Pay'!$D$7)</f>
        <v>32783.8338</v>
      </c>
      <c r="F10" s="8">
        <f>IF(F8*(1+$K$6)&lt;'Locality and Max Pay'!$D$7,F8*(1+$K$6),'Locality and Max Pay'!$D$7)</f>
        <v>40017.989</v>
      </c>
      <c r="G10" s="8">
        <f>IF(G8*(1+$K$6)&lt;'Locality and Max Pay'!$D$7,G8*(1+$K$6),'Locality and Max Pay'!$D$7)</f>
        <v>44199.94440000001</v>
      </c>
      <c r="H10" s="8">
        <f>IF(H8*(1+$K$6)&lt;'Locality and Max Pay'!$D$7,H8*(1+$K$6),'Locality and Max Pay'!$D$7)</f>
        <v>51750.245200000005</v>
      </c>
      <c r="I10" s="8">
        <f>IF(I8*(1+$K$6)&lt;'Locality and Max Pay'!$D$7,I8*(1+$K$6),'Locality and Max Pay'!$D$7)</f>
        <v>62171.427</v>
      </c>
      <c r="J10" s="8">
        <f>IF(J8*(1+$K$6)&lt;'Locality and Max Pay'!$D$7,J8*(1+$K$6),'Locality and Max Pay'!$D$7)</f>
        <v>74781.2197</v>
      </c>
      <c r="K10" s="8">
        <f>IF(K8*(1+$K$6)&lt;'Locality and Max Pay'!$D$7,K8*(1+$K$6),'Locality and Max Pay'!$D$7)</f>
        <v>91426.51800000001</v>
      </c>
      <c r="L10" s="8">
        <f>IF(L8*(1+$K$6)&lt;'Locality and Max Pay'!$D$7,L8*(1+$K$6),'Locality and Max Pay'!$D$7)</f>
        <v>108550.6839</v>
      </c>
      <c r="M10" s="8">
        <f>IF(M8*(1+$K$6)&lt;'Locality and Max Pay'!$D$7,M8*(1+$K$6),'Locality and Max Pay'!$D$7)</f>
        <v>129659.21420000002</v>
      </c>
      <c r="N10" s="8">
        <f>IF(N8*(1+$K$6)&lt;'Locality and Max Pay'!$D$7,N8*(1+$K$6),'Locality and Max Pay'!$D$7)</f>
        <v>152706.4609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31306.5505</v>
      </c>
      <c r="C11" s="8">
        <f>IF(C9*(1+$K$6)&lt;'Locality and Max Pay'!$D$7,C9*(1+$K$6),'Locality and Max Pay'!$D$7)</f>
        <v>35743.049600000006</v>
      </c>
      <c r="D11" s="8">
        <f>IF(D9*(1+$K$6)&lt;'Locality and Max Pay'!$D$7,D9*(1+$K$6),'Locality and Max Pay'!$D$7)</f>
        <v>41781.1981</v>
      </c>
      <c r="E11" s="8">
        <f>IF(E9*(1+$K$6)&lt;'Locality and Max Pay'!$D$7,E9*(1+$K$6),'Locality and Max Pay'!$D$7)</f>
        <v>49176.91300000001</v>
      </c>
      <c r="F11" s="8">
        <f>IF(F9*(1+$K$6)&lt;'Locality and Max Pay'!$D$7,F9*(1+$K$6),'Locality and Max Pay'!$D$7)</f>
        <v>60026.9835</v>
      </c>
      <c r="G11" s="8">
        <f>IF(G9*(1+$K$6)&lt;'Locality and Max Pay'!$D$7,G9*(1+$K$6),'Locality and Max Pay'!$D$7)</f>
        <v>66301.07890000001</v>
      </c>
      <c r="H11" s="8">
        <f>IF(H9*(1+$K$6)&lt;'Locality and Max Pay'!$D$7,H9*(1+$K$6),'Locality and Max Pay'!$D$7)</f>
        <v>80218.45910000001</v>
      </c>
      <c r="I11" s="8">
        <f>IF(I9*(1+$K$6)&lt;'Locality and Max Pay'!$D$7,I9*(1+$K$6),'Locality and Max Pay'!$D$7)</f>
        <v>96368.61760000001</v>
      </c>
      <c r="J11" s="8">
        <f>IF(J9*(1+$K$6)&lt;'Locality and Max Pay'!$D$7,J9*(1+$K$6),'Locality and Max Pay'!$D$7)</f>
        <v>115899.90680000001</v>
      </c>
      <c r="K11" s="8">
        <f>IF(K9*(1+$K$6)&lt;'Locality and Max Pay'!$D$7,K9*(1+$K$6),'Locality and Max Pay'!$D$7)</f>
        <v>141736.6735</v>
      </c>
      <c r="L11" s="8">
        <f>IF(L9*(1+$K$6)&lt;'Locality and Max Pay'!$D$7,L9*(1+$K$6),'Locality and Max Pay'!$D$7)</f>
        <v>168197.59530000002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163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0.161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21544.677</v>
      </c>
      <c r="C10" s="8">
        <f>IF(C8*(1+$K$6)&lt;'Locality and Max Pay'!$D$7,C8*(1+$K$6),'Locality and Max Pay'!$D$7)</f>
        <v>24622.488</v>
      </c>
      <c r="D10" s="8">
        <f>IF(D8*(1+$K$6)&lt;'Locality and Max Pay'!$D$7,D8*(1+$K$6),'Locality and Max Pay'!$D$7)</f>
        <v>27823.365</v>
      </c>
      <c r="E10" s="8">
        <f>IF(E8*(1+$K$6)&lt;'Locality and Max Pay'!$D$7,E8*(1+$K$6),'Locality and Max Pay'!$D$7)</f>
        <v>32747.166</v>
      </c>
      <c r="F10" s="8">
        <f>IF(F8*(1+$K$6)&lt;'Locality and Max Pay'!$D$7,F8*(1+$K$6),'Locality and Max Pay'!$D$7)</f>
        <v>39973.23</v>
      </c>
      <c r="G10" s="8">
        <f>IF(G8*(1+$K$6)&lt;'Locality and Max Pay'!$D$7,G8*(1+$K$6),'Locality and Max Pay'!$D$7)</f>
        <v>44150.508</v>
      </c>
      <c r="H10" s="8">
        <f>IF(H8*(1+$K$6)&lt;'Locality and Max Pay'!$D$7,H8*(1+$K$6),'Locality and Max Pay'!$D$7)</f>
        <v>51692.364</v>
      </c>
      <c r="I10" s="8">
        <f>IF(I8*(1+$K$6)&lt;'Locality and Max Pay'!$D$7,I8*(1+$K$6),'Locality and Max Pay'!$D$7)</f>
        <v>62101.89</v>
      </c>
      <c r="J10" s="8">
        <f>IF(J8*(1+$K$6)&lt;'Locality and Max Pay'!$D$7,J8*(1+$K$6),'Locality and Max Pay'!$D$7)</f>
        <v>74697.579</v>
      </c>
      <c r="K10" s="8">
        <f>IF(K8*(1+$K$6)&lt;'Locality and Max Pay'!$D$7,K8*(1+$K$6),'Locality and Max Pay'!$D$7)</f>
        <v>91324.26000000001</v>
      </c>
      <c r="L10" s="8">
        <f>IF(L8*(1+$K$6)&lt;'Locality and Max Pay'!$D$7,L8*(1+$K$6),'Locality and Max Pay'!$D$7)</f>
        <v>108429.273</v>
      </c>
      <c r="M10" s="8">
        <f>IF(M8*(1+$K$6)&lt;'Locality and Max Pay'!$D$7,M8*(1+$K$6),'Locality and Max Pay'!$D$7)</f>
        <v>129514.194</v>
      </c>
      <c r="N10" s="8">
        <f>IF(N8*(1+$K$6)&lt;'Locality and Max Pay'!$D$7,N8*(1+$K$6),'Locality and Max Pay'!$D$7)</f>
        <v>152535.663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31271.535</v>
      </c>
      <c r="C11" s="8">
        <f>IF(C9*(1+$K$6)&lt;'Locality and Max Pay'!$D$7,C9*(1+$K$6),'Locality and Max Pay'!$D$7)</f>
        <v>35703.072</v>
      </c>
      <c r="D11" s="8">
        <f>IF(D9*(1+$K$6)&lt;'Locality and Max Pay'!$D$7,D9*(1+$K$6),'Locality and Max Pay'!$D$7)</f>
        <v>41734.467000000004</v>
      </c>
      <c r="E11" s="8">
        <f>IF(E9*(1+$K$6)&lt;'Locality and Max Pay'!$D$7,E9*(1+$K$6),'Locality and Max Pay'!$D$7)</f>
        <v>49121.91</v>
      </c>
      <c r="F11" s="8">
        <f>IF(F9*(1+$K$6)&lt;'Locality and Max Pay'!$D$7,F9*(1+$K$6),'Locality and Max Pay'!$D$7)</f>
        <v>59959.845</v>
      </c>
      <c r="G11" s="8">
        <f>IF(G9*(1+$K$6)&lt;'Locality and Max Pay'!$D$7,G9*(1+$K$6),'Locality and Max Pay'!$D$7)</f>
        <v>66226.923</v>
      </c>
      <c r="H11" s="8">
        <f>IF(H9*(1+$K$6)&lt;'Locality and Max Pay'!$D$7,H9*(1+$K$6),'Locality and Max Pay'!$D$7)</f>
        <v>80128.73700000001</v>
      </c>
      <c r="I11" s="8">
        <f>IF(I9*(1+$K$6)&lt;'Locality and Max Pay'!$D$7,I9*(1+$K$6),'Locality and Max Pay'!$D$7)</f>
        <v>96260.83200000001</v>
      </c>
      <c r="J11" s="8">
        <f>IF(J9*(1+$K$6)&lt;'Locality and Max Pay'!$D$7,J9*(1+$K$6),'Locality and Max Pay'!$D$7)</f>
        <v>115770.276</v>
      </c>
      <c r="K11" s="8">
        <f>IF(K9*(1+$K$6)&lt;'Locality and Max Pay'!$D$7,K9*(1+$K$6),'Locality and Max Pay'!$D$7)</f>
        <v>141578.145</v>
      </c>
      <c r="L11" s="8">
        <f>IF(L9*(1+$K$6)&lt;'Locality and Max Pay'!$D$7,L9*(1+$K$6),'Locality and Max Pay'!$D$7)</f>
        <v>168009.471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162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0.174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21785.917999999998</v>
      </c>
      <c r="C10" s="8">
        <f>IF(C8*(1+$K$6)&lt;'Locality and Max Pay'!$D$7,C8*(1+$K$6),'Locality and Max Pay'!$D$7)</f>
        <v>24898.192</v>
      </c>
      <c r="D10" s="8">
        <f>IF(D8*(1+$K$6)&lt;'Locality and Max Pay'!$D$7,D8*(1+$K$6),'Locality and Max Pay'!$D$7)</f>
        <v>28134.91</v>
      </c>
      <c r="E10" s="8">
        <f>IF(E8*(1+$K$6)&lt;'Locality and Max Pay'!$D$7,E8*(1+$K$6),'Locality and Max Pay'!$D$7)</f>
        <v>33113.844</v>
      </c>
      <c r="F10" s="8">
        <f>IF(F8*(1+$K$6)&lt;'Locality and Max Pay'!$D$7,F8*(1+$K$6),'Locality and Max Pay'!$D$7)</f>
        <v>40420.82</v>
      </c>
      <c r="G10" s="8">
        <f>IF(G8*(1+$K$6)&lt;'Locality and Max Pay'!$D$7,G8*(1+$K$6),'Locality and Max Pay'!$D$7)</f>
        <v>44644.871999999996</v>
      </c>
      <c r="H10" s="8">
        <f>IF(H8*(1+$K$6)&lt;'Locality and Max Pay'!$D$7,H8*(1+$K$6),'Locality and Max Pay'!$D$7)</f>
        <v>52271.176</v>
      </c>
      <c r="I10" s="8">
        <f>IF(I8*(1+$K$6)&lt;'Locality and Max Pay'!$D$7,I8*(1+$K$6),'Locality and Max Pay'!$D$7)</f>
        <v>62797.259999999995</v>
      </c>
      <c r="J10" s="8">
        <f>IF(J8*(1+$K$6)&lt;'Locality and Max Pay'!$D$7,J8*(1+$K$6),'Locality and Max Pay'!$D$7)</f>
        <v>75533.98599999999</v>
      </c>
      <c r="K10" s="8">
        <f>IF(K8*(1+$K$6)&lt;'Locality and Max Pay'!$D$7,K8*(1+$K$6),'Locality and Max Pay'!$D$7)</f>
        <v>92346.84</v>
      </c>
      <c r="L10" s="8">
        <f>IF(L8*(1+$K$6)&lt;'Locality and Max Pay'!$D$7,L8*(1+$K$6),'Locality and Max Pay'!$D$7)</f>
        <v>109643.382</v>
      </c>
      <c r="M10" s="8">
        <f>IF(M8*(1+$K$6)&lt;'Locality and Max Pay'!$D$7,M8*(1+$K$6),'Locality and Max Pay'!$D$7)</f>
        <v>130964.396</v>
      </c>
      <c r="N10" s="8">
        <f>IF(N8*(1+$K$6)&lt;'Locality and Max Pay'!$D$7,N8*(1+$K$6),'Locality and Max Pay'!$D$7)</f>
        <v>154243.642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31621.69</v>
      </c>
      <c r="C11" s="8">
        <f>IF(C9*(1+$K$6)&lt;'Locality and Max Pay'!$D$7,C9*(1+$K$6),'Locality and Max Pay'!$D$7)</f>
        <v>36102.848</v>
      </c>
      <c r="D11" s="8">
        <f>IF(D9*(1+$K$6)&lt;'Locality and Max Pay'!$D$7,D9*(1+$K$6),'Locality and Max Pay'!$D$7)</f>
        <v>42201.778</v>
      </c>
      <c r="E11" s="8">
        <f>IF(E9*(1+$K$6)&lt;'Locality and Max Pay'!$D$7,E9*(1+$K$6),'Locality and Max Pay'!$D$7)</f>
        <v>49671.939999999995</v>
      </c>
      <c r="F11" s="8">
        <f>IF(F9*(1+$K$6)&lt;'Locality and Max Pay'!$D$7,F9*(1+$K$6),'Locality and Max Pay'!$D$7)</f>
        <v>60631.229999999996</v>
      </c>
      <c r="G11" s="8">
        <f>IF(G9*(1+$K$6)&lt;'Locality and Max Pay'!$D$7,G9*(1+$K$6),'Locality and Max Pay'!$D$7)</f>
        <v>66968.48199999999</v>
      </c>
      <c r="H11" s="8">
        <f>IF(H9*(1+$K$6)&lt;'Locality and Max Pay'!$D$7,H9*(1+$K$6),'Locality and Max Pay'!$D$7)</f>
        <v>81025.958</v>
      </c>
      <c r="I11" s="8">
        <f>IF(I9*(1+$K$6)&lt;'Locality and Max Pay'!$D$7,I9*(1+$K$6),'Locality and Max Pay'!$D$7)</f>
        <v>97338.688</v>
      </c>
      <c r="J11" s="8">
        <f>IF(J9*(1+$K$6)&lt;'Locality and Max Pay'!$D$7,J9*(1+$K$6),'Locality and Max Pay'!$D$7)</f>
        <v>117066.58399999999</v>
      </c>
      <c r="K11" s="8">
        <f>IF(K9*(1+$K$6)&lt;'Locality and Max Pay'!$D$7,K9*(1+$K$6),'Locality and Max Pay'!$D$7)</f>
        <v>143163.43</v>
      </c>
      <c r="L11" s="8">
        <f>IF(L9*(1+$K$6)&lt;'Locality and Max Pay'!$D$7,L9*(1+$K$6),'Locality and Max Pay'!$D$7)</f>
        <v>169890.71399999998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pane xSplit="1" ySplit="12" topLeftCell="B1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G21" sqref="G2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bestFit="1" customWidth="1"/>
    <col min="11" max="11" width="13.421875" style="0" customWidth="1"/>
    <col min="12" max="14" width="11.421875" style="0" customWidth="1"/>
    <col min="15" max="18" width="0" style="0" hidden="1" customWidth="1"/>
  </cols>
  <sheetData>
    <row r="1" spans="19:24" s="22" customFormat="1" ht="16.5" customHeight="1" hidden="1">
      <c r="S1" s="82">
        <f>1+0.01</f>
        <v>1.01</v>
      </c>
      <c r="T1" s="82">
        <f>1+0.014</f>
        <v>1.014</v>
      </c>
      <c r="U1" s="82">
        <f>1+0.016</f>
        <v>1.016</v>
      </c>
      <c r="V1" s="82">
        <f>1+0.022</f>
        <v>1.022</v>
      </c>
      <c r="W1" s="82">
        <f>1+0.042</f>
        <v>1.042</v>
      </c>
      <c r="X1" s="82">
        <f>1+0.022</f>
        <v>1.022</v>
      </c>
    </row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9:24" s="22" customFormat="1" ht="12.75" customHeight="1">
      <c r="S3" s="85"/>
      <c r="T3" s="85"/>
      <c r="U3" s="85"/>
      <c r="V3" s="85"/>
      <c r="W3" s="85"/>
      <c r="X3" s="85"/>
    </row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3" ht="15.75">
      <c r="A6" s="16" t="s">
        <v>154</v>
      </c>
      <c r="B6" s="103"/>
      <c r="C6" s="104"/>
      <c r="D6" s="104"/>
      <c r="E6" s="104"/>
      <c r="F6" s="104"/>
      <c r="G6" s="104"/>
      <c r="H6" s="105"/>
      <c r="I6" s="17"/>
      <c r="J6" s="15" t="s">
        <v>83</v>
      </c>
      <c r="K6" s="1"/>
      <c r="L6" s="15"/>
      <c r="M6" s="15"/>
    </row>
    <row r="7" spans="1:14" ht="12.75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3.5" thickBot="1">
      <c r="A8" s="4" t="s">
        <v>35</v>
      </c>
      <c r="B8" s="86">
        <f>ROUND(18301*T1,0)</f>
        <v>18557</v>
      </c>
      <c r="C8" s="86">
        <f>ROUND(20915*T1,0)</f>
        <v>21208</v>
      </c>
      <c r="D8" s="86">
        <f>ROUND(23634*T1,0)</f>
        <v>23965</v>
      </c>
      <c r="E8" s="86">
        <f>ROUND(27817*T1,0)</f>
        <v>28206</v>
      </c>
      <c r="F8" s="86">
        <f>ROUND(33955*T1,0)</f>
        <v>34430</v>
      </c>
      <c r="G8" s="86">
        <f>ROUND(37503*T1,0)</f>
        <v>38028</v>
      </c>
      <c r="H8" s="86">
        <f>ROUND(43909*T1,0)</f>
        <v>44524</v>
      </c>
      <c r="I8" s="86">
        <f>ROUND(52648*U1,0)</f>
        <v>53490</v>
      </c>
      <c r="J8" s="86">
        <f>ROUND(62954*V1,0)</f>
        <v>64339</v>
      </c>
      <c r="K8" s="86">
        <f>ROUND(76967*V1,0)</f>
        <v>78660</v>
      </c>
      <c r="L8" s="86">
        <f>ROUND(91922*U1,0)</f>
        <v>93393</v>
      </c>
      <c r="M8" s="86">
        <f>ROUND(110014*T1,0)</f>
        <v>111554</v>
      </c>
      <c r="N8" s="87">
        <f>ROUND(129569*T1,0)</f>
        <v>131383</v>
      </c>
    </row>
    <row r="9" spans="1:14" s="22" customFormat="1" ht="13.5" thickBot="1">
      <c r="A9" s="6" t="s">
        <v>36</v>
      </c>
      <c r="B9" s="86">
        <f>ROUND(26563*T1,0)</f>
        <v>26935</v>
      </c>
      <c r="C9" s="86">
        <f>ROUND(30327*T1,0)</f>
        <v>30752</v>
      </c>
      <c r="D9" s="86">
        <f>ROUND(35451*T1,0)</f>
        <v>35947</v>
      </c>
      <c r="E9" s="86">
        <f>ROUND(41726*T1,0)</f>
        <v>42310</v>
      </c>
      <c r="F9" s="86">
        <f>ROUND(50932*T1,0)</f>
        <v>51645</v>
      </c>
      <c r="G9" s="86">
        <f>ROUND(56255*T1,0)</f>
        <v>57043</v>
      </c>
      <c r="H9" s="86">
        <f>ROUND(68064*T1,0)</f>
        <v>69017</v>
      </c>
      <c r="I9" s="86">
        <f>ROUND(81606*U1,0)</f>
        <v>82912</v>
      </c>
      <c r="J9" s="86">
        <f>ROUND(97569*V1,0)</f>
        <v>99716</v>
      </c>
      <c r="K9" s="86">
        <f>ROUND(119320*V1,0)</f>
        <v>121945</v>
      </c>
      <c r="L9" s="86">
        <f>ROUND(142432*U1,0)</f>
        <v>144711</v>
      </c>
      <c r="M9" s="86">
        <f>ROUND(170563*T1,0)</f>
        <v>172951</v>
      </c>
      <c r="N9" s="87">
        <f>ROUND(174956*T1,0)</f>
        <v>177405</v>
      </c>
    </row>
    <row r="10" spans="1:14" ht="12.75">
      <c r="A10" s="7" t="s">
        <v>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7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  <c r="P13" s="61"/>
      <c r="Q13" s="61"/>
    </row>
    <row r="14" spans="1:17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  <c r="P14" s="61"/>
      <c r="Q14" s="61"/>
    </row>
    <row r="15" spans="1:17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61"/>
      <c r="Q15" s="61"/>
    </row>
    <row r="16" spans="1:17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  <c r="P16" s="61"/>
      <c r="Q16" s="61"/>
    </row>
    <row r="17" spans="1:17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  <c r="P17" s="61"/>
      <c r="Q17" s="61"/>
    </row>
    <row r="18" spans="1:17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  <c r="P18" s="61"/>
      <c r="Q18" s="61"/>
    </row>
    <row r="19" spans="1:17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61"/>
      <c r="Q19" s="61"/>
    </row>
    <row r="20" spans="1:17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  <c r="P20" s="61"/>
      <c r="Q20" s="61"/>
    </row>
    <row r="21" spans="1:17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  <c r="P21" s="61"/>
      <c r="Q21" s="61"/>
    </row>
    <row r="22" spans="1:17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  <c r="P22" s="61"/>
      <c r="Q22" s="61"/>
    </row>
    <row r="23" spans="1:17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  <c r="P23" s="61"/>
      <c r="Q23" s="61"/>
    </row>
    <row r="24" spans="1:17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P24" s="61"/>
      <c r="Q24" s="61"/>
    </row>
    <row r="25" spans="1:17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  <c r="P25" s="61"/>
      <c r="Q25" s="6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s="22" customFormat="1" ht="12.75">
      <c r="A89" s="38"/>
    </row>
    <row r="90" s="22" customFormat="1" ht="12.75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/>
    <row r="346" ht="12.75"/>
    <row r="347" ht="12.75"/>
  </sheetData>
  <sheetProtection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164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0.1649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21617.049300000002</v>
      </c>
      <c r="C10" s="8">
        <f>IF(C8*(1+$K$6)&lt;'Locality and Max Pay'!$D$7,C8*(1+$K$6),'Locality and Max Pay'!$D$7)</f>
        <v>24705.199200000003</v>
      </c>
      <c r="D10" s="8">
        <f>IF(D8*(1+$K$6)&lt;'Locality and Max Pay'!$D$7,D8*(1+$K$6),'Locality and Max Pay'!$D$7)</f>
        <v>27916.8285</v>
      </c>
      <c r="E10" s="8">
        <f>IF(E8*(1+$K$6)&lt;'Locality and Max Pay'!$D$7,E8*(1+$K$6),'Locality and Max Pay'!$D$7)</f>
        <v>32857.1694</v>
      </c>
      <c r="F10" s="8">
        <f>IF(F8*(1+$K$6)&lt;'Locality and Max Pay'!$D$7,F8*(1+$K$6),'Locality and Max Pay'!$D$7)</f>
        <v>40107.507000000005</v>
      </c>
      <c r="G10" s="8">
        <f>IF(G8*(1+$K$6)&lt;'Locality and Max Pay'!$D$7,G8*(1+$K$6),'Locality and Max Pay'!$D$7)</f>
        <v>44298.817200000005</v>
      </c>
      <c r="H10" s="8">
        <f>IF(H8*(1+$K$6)&lt;'Locality and Max Pay'!$D$7,H8*(1+$K$6),'Locality and Max Pay'!$D$7)</f>
        <v>51866.007600000004</v>
      </c>
      <c r="I10" s="8">
        <f>IF(I8*(1+$K$6)&lt;'Locality and Max Pay'!$D$7,I8*(1+$K$6),'Locality and Max Pay'!$D$7)</f>
        <v>62310.501000000004</v>
      </c>
      <c r="J10" s="8">
        <f>IF(J8*(1+$K$6)&lt;'Locality and Max Pay'!$D$7,J8*(1+$K$6),'Locality and Max Pay'!$D$7)</f>
        <v>74948.50110000001</v>
      </c>
      <c r="K10" s="8">
        <f>IF(K8*(1+$K$6)&lt;'Locality and Max Pay'!$D$7,K8*(1+$K$6),'Locality and Max Pay'!$D$7)</f>
        <v>91631.034</v>
      </c>
      <c r="L10" s="8">
        <f>IF(L8*(1+$K$6)&lt;'Locality and Max Pay'!$D$7,L8*(1+$K$6),'Locality and Max Pay'!$D$7)</f>
        <v>108793.50570000001</v>
      </c>
      <c r="M10" s="8">
        <f>IF(M8*(1+$K$6)&lt;'Locality and Max Pay'!$D$7,M8*(1+$K$6),'Locality and Max Pay'!$D$7)</f>
        <v>129949.2546</v>
      </c>
      <c r="N10" s="8">
        <f>IF(N8*(1+$K$6)&lt;'Locality and Max Pay'!$D$7,N8*(1+$K$6),'Locality and Max Pay'!$D$7)</f>
        <v>153048.05670000002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31376.5815</v>
      </c>
      <c r="C11" s="8">
        <f>IF(C9*(1+$K$6)&lt;'Locality and Max Pay'!$D$7,C9*(1+$K$6),'Locality and Max Pay'!$D$7)</f>
        <v>35823.0048</v>
      </c>
      <c r="D11" s="8">
        <f>IF(D9*(1+$K$6)&lt;'Locality and Max Pay'!$D$7,D9*(1+$K$6),'Locality and Max Pay'!$D$7)</f>
        <v>41874.6603</v>
      </c>
      <c r="E11" s="8">
        <f>IF(E9*(1+$K$6)&lt;'Locality and Max Pay'!$D$7,E9*(1+$K$6),'Locality and Max Pay'!$D$7)</f>
        <v>49286.919</v>
      </c>
      <c r="F11" s="8">
        <f>IF(F9*(1+$K$6)&lt;'Locality and Max Pay'!$D$7,F9*(1+$K$6),'Locality and Max Pay'!$D$7)</f>
        <v>60161.260500000004</v>
      </c>
      <c r="G11" s="8">
        <f>IF(G9*(1+$K$6)&lt;'Locality and Max Pay'!$D$7,G9*(1+$K$6),'Locality and Max Pay'!$D$7)</f>
        <v>66449.3907</v>
      </c>
      <c r="H11" s="8">
        <f>IF(H9*(1+$K$6)&lt;'Locality and Max Pay'!$D$7,H9*(1+$K$6),'Locality and Max Pay'!$D$7)</f>
        <v>80397.9033</v>
      </c>
      <c r="I11" s="8">
        <f>IF(I9*(1+$K$6)&lt;'Locality and Max Pay'!$D$7,I9*(1+$K$6),'Locality and Max Pay'!$D$7)</f>
        <v>96584.1888</v>
      </c>
      <c r="J11" s="8">
        <f>IF(J9*(1+$K$6)&lt;'Locality and Max Pay'!$D$7,J9*(1+$K$6),'Locality and Max Pay'!$D$7)</f>
        <v>116159.16840000001</v>
      </c>
      <c r="K11" s="8">
        <f>IF(K9*(1+$K$6)&lt;'Locality and Max Pay'!$D$7,K9*(1+$K$6),'Locality and Max Pay'!$D$7)</f>
        <v>142053.7305</v>
      </c>
      <c r="L11" s="8">
        <f>IF(L9*(1+$K$6)&lt;'Locality and Max Pay'!$D$7,L9*(1+$K$6),'Locality and Max Pay'!$D$7)</f>
        <v>168573.8439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109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0.3057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24229.874900000003</v>
      </c>
      <c r="C10" s="8">
        <f>IF(C8*(1+$K$6)&lt;'Locality and Max Pay'!$D$7,C8*(1+$K$6),'Locality and Max Pay'!$D$7)</f>
        <v>27691.285600000003</v>
      </c>
      <c r="D10" s="8">
        <f>IF(D8*(1+$K$6)&lt;'Locality and Max Pay'!$D$7,D8*(1+$K$6),'Locality and Max Pay'!$D$7)</f>
        <v>31291.1005</v>
      </c>
      <c r="E10" s="8">
        <f>IF(E8*(1+$K$6)&lt;'Locality and Max Pay'!$D$7,E8*(1+$K$6),'Locality and Max Pay'!$D$7)</f>
        <v>36828.5742</v>
      </c>
      <c r="F10" s="8">
        <f>IF(F8*(1+$K$6)&lt;'Locality and Max Pay'!$D$7,F8*(1+$K$6),'Locality and Max Pay'!$D$7)</f>
        <v>44955.251000000004</v>
      </c>
      <c r="G10" s="8">
        <f>IF(G8*(1+$K$6)&lt;'Locality and Max Pay'!$D$7,G8*(1+$K$6),'Locality and Max Pay'!$D$7)</f>
        <v>49653.159600000006</v>
      </c>
      <c r="H10" s="8">
        <f>IF(H8*(1+$K$6)&lt;'Locality and Max Pay'!$D$7,H8*(1+$K$6),'Locality and Max Pay'!$D$7)</f>
        <v>58134.986800000006</v>
      </c>
      <c r="I10" s="8">
        <f>IF(I8*(1+$K$6)&lt;'Locality and Max Pay'!$D$7,I8*(1+$K$6),'Locality and Max Pay'!$D$7)</f>
        <v>69841.89300000001</v>
      </c>
      <c r="J10" s="8">
        <f>IF(J8*(1+$K$6)&lt;'Locality and Max Pay'!$D$7,J8*(1+$K$6),'Locality and Max Pay'!$D$7)</f>
        <v>84007.4323</v>
      </c>
      <c r="K10" s="8">
        <f>IF(K8*(1+$K$6)&lt;'Locality and Max Pay'!$D$7,K8*(1+$K$6),'Locality and Max Pay'!$D$7)</f>
        <v>102706.36200000001</v>
      </c>
      <c r="L10" s="8">
        <f>IF(L8*(1+$K$6)&lt;'Locality and Max Pay'!$D$7,L8*(1+$K$6),'Locality and Max Pay'!$D$7)</f>
        <v>121943.24010000001</v>
      </c>
      <c r="M10" s="8">
        <f>IF(M8*(1+$K$6)&lt;'Locality and Max Pay'!$D$7,M8*(1+$K$6),'Locality and Max Pay'!$D$7)</f>
        <v>145656.0578</v>
      </c>
      <c r="N10" s="8">
        <f>IF(N8*(1+$K$6)&lt;'Locality and Max Pay'!$D$7,N8*(1+$K$6),'Locality and Max Pay'!$D$7)</f>
        <v>171546.7831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35169.029500000004</v>
      </c>
      <c r="C11" s="8">
        <f>IF(C9*(1+$K$6)&lt;'Locality and Max Pay'!$D$7,C9*(1+$K$6),'Locality and Max Pay'!$D$7)</f>
        <v>40152.8864</v>
      </c>
      <c r="D11" s="8">
        <f>IF(D9*(1+$K$6)&lt;'Locality and Max Pay'!$D$7,D9*(1+$K$6),'Locality and Max Pay'!$D$7)</f>
        <v>46935.9979</v>
      </c>
      <c r="E11" s="8">
        <f>IF(E9*(1+$K$6)&lt;'Locality and Max Pay'!$D$7,E9*(1+$K$6),'Locality and Max Pay'!$D$7)</f>
        <v>55244.167</v>
      </c>
      <c r="F11" s="8">
        <f>IF(F9*(1+$K$6)&lt;'Locality and Max Pay'!$D$7,F9*(1+$K$6),'Locality and Max Pay'!$D$7)</f>
        <v>67432.8765</v>
      </c>
      <c r="G11" s="8">
        <f>IF(G9*(1+$K$6)&lt;'Locality and Max Pay'!$D$7,G9*(1+$K$6),'Locality and Max Pay'!$D$7)</f>
        <v>74481.0451</v>
      </c>
      <c r="H11" s="8">
        <f>IF(H9*(1+$K$6)&lt;'Locality and Max Pay'!$D$7,H9*(1+$K$6),'Locality and Max Pay'!$D$7)</f>
        <v>90115.49690000001</v>
      </c>
      <c r="I11" s="8">
        <f>IF(I9*(1+$K$6)&lt;'Locality and Max Pay'!$D$7,I9*(1+$K$6),'Locality and Max Pay'!$D$7)</f>
        <v>108258.19840000001</v>
      </c>
      <c r="J11" s="8">
        <f>IF(J9*(1+$K$6)&lt;'Locality and Max Pay'!$D$7,J9*(1+$K$6),'Locality and Max Pay'!$D$7)</f>
        <v>130199.1812</v>
      </c>
      <c r="K11" s="8">
        <f>IF(K9*(1+$K$6)&lt;'Locality and Max Pay'!$D$7,K9*(1+$K$6),'Locality and Max Pay'!$D$7)</f>
        <v>159223.5865</v>
      </c>
      <c r="L11" s="8">
        <f>IF(L9*(1+$K$6)&lt;'Locality and Max Pay'!$D$7,L9*(1+$K$6),'Locality and Max Pay'!$D$7)</f>
        <v>188949.1527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130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0.2264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22758.304799999998</v>
      </c>
      <c r="C10" s="8">
        <f>IF(C8*(1+$K$6)&lt;'Locality and Max Pay'!$D$7,C8*(1+$K$6),'Locality and Max Pay'!$D$7)</f>
        <v>26009.4912</v>
      </c>
      <c r="D10" s="8">
        <f>IF(D8*(1+$K$6)&lt;'Locality and Max Pay'!$D$7,D8*(1+$K$6),'Locality and Max Pay'!$D$7)</f>
        <v>29390.676</v>
      </c>
      <c r="E10" s="8">
        <f>IF(E8*(1+$K$6)&lt;'Locality and Max Pay'!$D$7,E8*(1+$K$6),'Locality and Max Pay'!$D$7)</f>
        <v>34591.8384</v>
      </c>
      <c r="F10" s="8">
        <f>IF(F8*(1+$K$6)&lt;'Locality and Max Pay'!$D$7,F8*(1+$K$6),'Locality and Max Pay'!$D$7)</f>
        <v>42224.952</v>
      </c>
      <c r="G10" s="8">
        <f>IF(G8*(1+$K$6)&lt;'Locality and Max Pay'!$D$7,G8*(1+$K$6),'Locality and Max Pay'!$D$7)</f>
        <v>46637.5392</v>
      </c>
      <c r="H10" s="8">
        <f>IF(H8*(1+$K$6)&lt;'Locality and Max Pay'!$D$7,H8*(1+$K$6),'Locality and Max Pay'!$D$7)</f>
        <v>54604.2336</v>
      </c>
      <c r="I10" s="8">
        <f>IF(I8*(1+$K$6)&lt;'Locality and Max Pay'!$D$7,I8*(1+$K$6),'Locality and Max Pay'!$D$7)</f>
        <v>65600.136</v>
      </c>
      <c r="J10" s="8">
        <f>IF(J8*(1+$K$6)&lt;'Locality and Max Pay'!$D$7,J8*(1+$K$6),'Locality and Max Pay'!$D$7)</f>
        <v>78905.3496</v>
      </c>
      <c r="K10" s="8">
        <f>IF(K8*(1+$K$6)&lt;'Locality and Max Pay'!$D$7,K8*(1+$K$6),'Locality and Max Pay'!$D$7)</f>
        <v>96468.624</v>
      </c>
      <c r="L10" s="8">
        <f>IF(L8*(1+$K$6)&lt;'Locality and Max Pay'!$D$7,L8*(1+$K$6),'Locality and Max Pay'!$D$7)</f>
        <v>114537.1752</v>
      </c>
      <c r="M10" s="8">
        <f>IF(M8*(1+$K$6)&lt;'Locality and Max Pay'!$D$7,M8*(1+$K$6),'Locality and Max Pay'!$D$7)</f>
        <v>136809.82559999998</v>
      </c>
      <c r="N10" s="8">
        <f>IF(N8*(1+$K$6)&lt;'Locality and Max Pay'!$D$7,N8*(1+$K$6),'Locality and Max Pay'!$D$7)</f>
        <v>161128.11119999998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33033.083999999995</v>
      </c>
      <c r="C11" s="8">
        <f>IF(C9*(1+$K$6)&lt;'Locality and Max Pay'!$D$7,C9*(1+$K$6),'Locality and Max Pay'!$D$7)</f>
        <v>37714.252799999995</v>
      </c>
      <c r="D11" s="8">
        <f>IF(D9*(1+$K$6)&lt;'Locality and Max Pay'!$D$7,D9*(1+$K$6),'Locality and Max Pay'!$D$7)</f>
        <v>44085.400799999996</v>
      </c>
      <c r="E11" s="8">
        <f>IF(E9*(1+$K$6)&lt;'Locality and Max Pay'!$D$7,E9*(1+$K$6),'Locality and Max Pay'!$D$7)</f>
        <v>51888.984</v>
      </c>
      <c r="F11" s="8">
        <f>IF(F9*(1+$K$6)&lt;'Locality and Max Pay'!$D$7,F9*(1+$K$6),'Locality and Max Pay'!$D$7)</f>
        <v>63337.428</v>
      </c>
      <c r="G11" s="8">
        <f>IF(G9*(1+$K$6)&lt;'Locality and Max Pay'!$D$7,G9*(1+$K$6),'Locality and Max Pay'!$D$7)</f>
        <v>69957.5352</v>
      </c>
      <c r="H11" s="8">
        <f>IF(H9*(1+$K$6)&lt;'Locality and Max Pay'!$D$7,H9*(1+$K$6),'Locality and Max Pay'!$D$7)</f>
        <v>84642.4488</v>
      </c>
      <c r="I11" s="8">
        <f>IF(I9*(1+$K$6)&lt;'Locality and Max Pay'!$D$7,I9*(1+$K$6),'Locality and Max Pay'!$D$7)</f>
        <v>101683.27679999999</v>
      </c>
      <c r="J11" s="8">
        <f>IF(J9*(1+$K$6)&lt;'Locality and Max Pay'!$D$7,J9*(1+$K$6),'Locality and Max Pay'!$D$7)</f>
        <v>122291.7024</v>
      </c>
      <c r="K11" s="8">
        <f>IF(K9*(1+$K$6)&lt;'Locality and Max Pay'!$D$7,K9*(1+$K$6),'Locality and Max Pay'!$D$7)</f>
        <v>149553.348</v>
      </c>
      <c r="L11" s="8">
        <f>IF(L9*(1+$K$6)&lt;'Locality and Max Pay'!$D$7,L9*(1+$K$6),'Locality and Max Pay'!$D$7)</f>
        <v>177473.5704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131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0.2014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22294.3798</v>
      </c>
      <c r="C10" s="8">
        <f>IF(C8*(1+$K$6)&lt;'Locality and Max Pay'!$D$7,C8*(1+$K$6),'Locality and Max Pay'!$D$7)</f>
        <v>25479.2912</v>
      </c>
      <c r="D10" s="8">
        <f>IF(D8*(1+$K$6)&lt;'Locality and Max Pay'!$D$7,D8*(1+$K$6),'Locality and Max Pay'!$D$7)</f>
        <v>28791.551</v>
      </c>
      <c r="E10" s="8">
        <f>IF(E8*(1+$K$6)&lt;'Locality and Max Pay'!$D$7,E8*(1+$K$6),'Locality and Max Pay'!$D$7)</f>
        <v>33886.6884</v>
      </c>
      <c r="F10" s="8">
        <f>IF(F8*(1+$K$6)&lt;'Locality and Max Pay'!$D$7,F8*(1+$K$6),'Locality and Max Pay'!$D$7)</f>
        <v>41364.202</v>
      </c>
      <c r="G10" s="8">
        <f>IF(G8*(1+$K$6)&lt;'Locality and Max Pay'!$D$7,G8*(1+$K$6),'Locality and Max Pay'!$D$7)</f>
        <v>45686.8392</v>
      </c>
      <c r="H10" s="8">
        <f>IF(H8*(1+$K$6)&lt;'Locality and Max Pay'!$D$7,H8*(1+$K$6),'Locality and Max Pay'!$D$7)</f>
        <v>53491.1336</v>
      </c>
      <c r="I10" s="8">
        <f>IF(I8*(1+$K$6)&lt;'Locality and Max Pay'!$D$7,I8*(1+$K$6),'Locality and Max Pay'!$D$7)</f>
        <v>64262.886</v>
      </c>
      <c r="J10" s="8">
        <f>IF(J8*(1+$K$6)&lt;'Locality and Max Pay'!$D$7,J8*(1+$K$6),'Locality and Max Pay'!$D$7)</f>
        <v>77296.8746</v>
      </c>
      <c r="K10" s="8">
        <f>IF(K8*(1+$K$6)&lt;'Locality and Max Pay'!$D$7,K8*(1+$K$6),'Locality and Max Pay'!$D$7)</f>
        <v>94502.124</v>
      </c>
      <c r="L10" s="8">
        <f>IF(L8*(1+$K$6)&lt;'Locality and Max Pay'!$D$7,L8*(1+$K$6),'Locality and Max Pay'!$D$7)</f>
        <v>112202.3502</v>
      </c>
      <c r="M10" s="8">
        <f>IF(M8*(1+$K$6)&lt;'Locality and Max Pay'!$D$7,M8*(1+$K$6),'Locality and Max Pay'!$D$7)</f>
        <v>134020.9756</v>
      </c>
      <c r="N10" s="8">
        <f>IF(N8*(1+$K$6)&lt;'Locality and Max Pay'!$D$7,N8*(1+$K$6),'Locality and Max Pay'!$D$7)</f>
        <v>157843.5362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32359.709</v>
      </c>
      <c r="C11" s="8">
        <f>IF(C9*(1+$K$6)&lt;'Locality and Max Pay'!$D$7,C9*(1+$K$6),'Locality and Max Pay'!$D$7)</f>
        <v>36945.4528</v>
      </c>
      <c r="D11" s="8">
        <f>IF(D9*(1+$K$6)&lt;'Locality and Max Pay'!$D$7,D9*(1+$K$6),'Locality and Max Pay'!$D$7)</f>
        <v>43186.7258</v>
      </c>
      <c r="E11" s="8">
        <f>IF(E9*(1+$K$6)&lt;'Locality and Max Pay'!$D$7,E9*(1+$K$6),'Locality and Max Pay'!$D$7)</f>
        <v>50831.234000000004</v>
      </c>
      <c r="F11" s="8">
        <f>IF(F9*(1+$K$6)&lt;'Locality and Max Pay'!$D$7,F9*(1+$K$6),'Locality and Max Pay'!$D$7)</f>
        <v>62046.303</v>
      </c>
      <c r="G11" s="8">
        <f>IF(G9*(1+$K$6)&lt;'Locality and Max Pay'!$D$7,G9*(1+$K$6),'Locality and Max Pay'!$D$7)</f>
        <v>68531.4602</v>
      </c>
      <c r="H11" s="8">
        <f>IF(H9*(1+$K$6)&lt;'Locality and Max Pay'!$D$7,H9*(1+$K$6),'Locality and Max Pay'!$D$7)</f>
        <v>82917.0238</v>
      </c>
      <c r="I11" s="8">
        <f>IF(I9*(1+$K$6)&lt;'Locality and Max Pay'!$D$7,I9*(1+$K$6),'Locality and Max Pay'!$D$7)</f>
        <v>99610.4768</v>
      </c>
      <c r="J11" s="8">
        <f>IF(J9*(1+$K$6)&lt;'Locality and Max Pay'!$D$7,J9*(1+$K$6),'Locality and Max Pay'!$D$7)</f>
        <v>119798.8024</v>
      </c>
      <c r="K11" s="8">
        <f>IF(K9*(1+$K$6)&lt;'Locality and Max Pay'!$D$7,K9*(1+$K$6),'Locality and Max Pay'!$D$7)</f>
        <v>146504.723</v>
      </c>
      <c r="L11" s="8">
        <f>IF(L9*(1+$K$6)&lt;'Locality and Max Pay'!$D$7,L9*(1+$K$6),'Locality and Max Pay'!$D$7)</f>
        <v>173855.7954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132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0.2337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22893.7709</v>
      </c>
      <c r="C10" s="8">
        <f>IF(C8*(1+$K$6)&lt;'Locality and Max Pay'!$D$7,C8*(1+$K$6),'Locality and Max Pay'!$D$7)</f>
        <v>26164.3096</v>
      </c>
      <c r="D10" s="8">
        <f>IF(D8*(1+$K$6)&lt;'Locality and Max Pay'!$D$7,D8*(1+$K$6),'Locality and Max Pay'!$D$7)</f>
        <v>29565.6205</v>
      </c>
      <c r="E10" s="8">
        <f>IF(E8*(1+$K$6)&lt;'Locality and Max Pay'!$D$7,E8*(1+$K$6),'Locality and Max Pay'!$D$7)</f>
        <v>34797.7422</v>
      </c>
      <c r="F10" s="8">
        <f>IF(F8*(1+$K$6)&lt;'Locality and Max Pay'!$D$7,F8*(1+$K$6),'Locality and Max Pay'!$D$7)</f>
        <v>42476.291</v>
      </c>
      <c r="G10" s="8">
        <f>IF(G8*(1+$K$6)&lt;'Locality and Max Pay'!$D$7,G8*(1+$K$6),'Locality and Max Pay'!$D$7)</f>
        <v>46915.1436</v>
      </c>
      <c r="H10" s="8">
        <f>IF(H8*(1+$K$6)&lt;'Locality and Max Pay'!$D$7,H8*(1+$K$6),'Locality and Max Pay'!$D$7)</f>
        <v>54929.2588</v>
      </c>
      <c r="I10" s="8">
        <f>IF(I8*(1+$K$6)&lt;'Locality and Max Pay'!$D$7,I8*(1+$K$6),'Locality and Max Pay'!$D$7)</f>
        <v>65990.613</v>
      </c>
      <c r="J10" s="8">
        <f>IF(J8*(1+$K$6)&lt;'Locality and Max Pay'!$D$7,J8*(1+$K$6),'Locality and Max Pay'!$D$7)</f>
        <v>79375.0243</v>
      </c>
      <c r="K10" s="8">
        <f>IF(K8*(1+$K$6)&lt;'Locality and Max Pay'!$D$7,K8*(1+$K$6),'Locality and Max Pay'!$D$7)</f>
        <v>97042.842</v>
      </c>
      <c r="L10" s="8">
        <f>IF(L8*(1+$K$6)&lt;'Locality and Max Pay'!$D$7,L8*(1+$K$6),'Locality and Max Pay'!$D$7)</f>
        <v>115218.94410000001</v>
      </c>
      <c r="M10" s="8">
        <f>IF(M8*(1+$K$6)&lt;'Locality and Max Pay'!$D$7,M8*(1+$K$6),'Locality and Max Pay'!$D$7)</f>
        <v>137624.1698</v>
      </c>
      <c r="N10" s="8">
        <f>IF(N8*(1+$K$6)&lt;'Locality and Max Pay'!$D$7,N8*(1+$K$6),'Locality and Max Pay'!$D$7)</f>
        <v>162087.2071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33229.7095</v>
      </c>
      <c r="C11" s="8">
        <f>IF(C9*(1+$K$6)&lt;'Locality and Max Pay'!$D$7,C9*(1+$K$6),'Locality and Max Pay'!$D$7)</f>
        <v>37938.7424</v>
      </c>
      <c r="D11" s="8">
        <f>IF(D9*(1+$K$6)&lt;'Locality and Max Pay'!$D$7,D9*(1+$K$6),'Locality and Max Pay'!$D$7)</f>
        <v>44347.8139</v>
      </c>
      <c r="E11" s="8">
        <f>IF(E9*(1+$K$6)&lt;'Locality and Max Pay'!$D$7,E9*(1+$K$6),'Locality and Max Pay'!$D$7)</f>
        <v>52197.847</v>
      </c>
      <c r="F11" s="8">
        <f>IF(F9*(1+$K$6)&lt;'Locality and Max Pay'!$D$7,F9*(1+$K$6),'Locality and Max Pay'!$D$7)</f>
        <v>63714.4365</v>
      </c>
      <c r="G11" s="8">
        <f>IF(G9*(1+$K$6)&lt;'Locality and Max Pay'!$D$7,G9*(1+$K$6),'Locality and Max Pay'!$D$7)</f>
        <v>70373.9491</v>
      </c>
      <c r="H11" s="8">
        <f>IF(H9*(1+$K$6)&lt;'Locality and Max Pay'!$D$7,H9*(1+$K$6),'Locality and Max Pay'!$D$7)</f>
        <v>85146.2729</v>
      </c>
      <c r="I11" s="8">
        <f>IF(I9*(1+$K$6)&lt;'Locality and Max Pay'!$D$7,I9*(1+$K$6),'Locality and Max Pay'!$D$7)</f>
        <v>102288.5344</v>
      </c>
      <c r="J11" s="8">
        <f>IF(J9*(1+$K$6)&lt;'Locality and Max Pay'!$D$7,J9*(1+$K$6),'Locality and Max Pay'!$D$7)</f>
        <v>123019.6292</v>
      </c>
      <c r="K11" s="8">
        <f>IF(K9*(1+$K$6)&lt;'Locality and Max Pay'!$D$7,K9*(1+$K$6),'Locality and Max Pay'!$D$7)</f>
        <v>150443.5465</v>
      </c>
      <c r="L11" s="8">
        <f>IF(L9*(1+$K$6)&lt;'Locality and Max Pay'!$D$7,L9*(1+$K$6),'Locality and Max Pay'!$D$7)</f>
        <v>178529.9607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133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0.3213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24519.3641</v>
      </c>
      <c r="C10" s="8">
        <f>IF(C8*(1+$K$6)&lt;'Locality and Max Pay'!$D$7,C8*(1+$K$6),'Locality and Max Pay'!$D$7)</f>
        <v>28022.1304</v>
      </c>
      <c r="D10" s="8">
        <f>IF(D8*(1+$K$6)&lt;'Locality and Max Pay'!$D$7,D8*(1+$K$6),'Locality and Max Pay'!$D$7)</f>
        <v>31664.9545</v>
      </c>
      <c r="E10" s="8">
        <f>IF(E8*(1+$K$6)&lt;'Locality and Max Pay'!$D$7,E8*(1+$K$6),'Locality and Max Pay'!$D$7)</f>
        <v>37268.5878</v>
      </c>
      <c r="F10" s="8">
        <f>IF(F8*(1+$K$6)&lt;'Locality and Max Pay'!$D$7,F8*(1+$K$6),'Locality and Max Pay'!$D$7)</f>
        <v>45492.359</v>
      </c>
      <c r="G10" s="8">
        <f>IF(G8*(1+$K$6)&lt;'Locality and Max Pay'!$D$7,G8*(1+$K$6),'Locality and Max Pay'!$D$7)</f>
        <v>50246.3964</v>
      </c>
      <c r="H10" s="8">
        <f>IF(H8*(1+$K$6)&lt;'Locality and Max Pay'!$D$7,H8*(1+$K$6),'Locality and Max Pay'!$D$7)</f>
        <v>58829.5612</v>
      </c>
      <c r="I10" s="8">
        <f>IF(I8*(1+$K$6)&lt;'Locality and Max Pay'!$D$7,I8*(1+$K$6),'Locality and Max Pay'!$D$7)</f>
        <v>70676.337</v>
      </c>
      <c r="J10" s="8">
        <f>IF(J8*(1+$K$6)&lt;'Locality and Max Pay'!$D$7,J8*(1+$K$6),'Locality and Max Pay'!$D$7)</f>
        <v>85011.1207</v>
      </c>
      <c r="K10" s="8">
        <f>IF(K8*(1+$K$6)&lt;'Locality and Max Pay'!$D$7,K8*(1+$K$6),'Locality and Max Pay'!$D$7)</f>
        <v>103933.458</v>
      </c>
      <c r="L10" s="8">
        <f>IF(L8*(1+$K$6)&lt;'Locality and Max Pay'!$D$7,L8*(1+$K$6),'Locality and Max Pay'!$D$7)</f>
        <v>123400.1709</v>
      </c>
      <c r="M10" s="8">
        <f>IF(M8*(1+$K$6)&lt;'Locality and Max Pay'!$D$7,M8*(1+$K$6),'Locality and Max Pay'!$D$7)</f>
        <v>147396.3002</v>
      </c>
      <c r="N10" s="8">
        <f>IF(N8*(1+$K$6)&lt;'Locality and Max Pay'!$D$7,N8*(1+$K$6),'Locality and Max Pay'!$D$7)</f>
        <v>173596.3579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35589.2155</v>
      </c>
      <c r="C11" s="8">
        <f>IF(C9*(1+$K$6)&lt;'Locality and Max Pay'!$D$7,C9*(1+$K$6),'Locality and Max Pay'!$D$7)</f>
        <v>40632.6176</v>
      </c>
      <c r="D11" s="8">
        <f>IF(D9*(1+$K$6)&lt;'Locality and Max Pay'!$D$7,D9*(1+$K$6),'Locality and Max Pay'!$D$7)</f>
        <v>47496.7711</v>
      </c>
      <c r="E11" s="8">
        <f>IF(E9*(1+$K$6)&lt;'Locality and Max Pay'!$D$7,E9*(1+$K$6),'Locality and Max Pay'!$D$7)</f>
        <v>55904.202999999994</v>
      </c>
      <c r="F11" s="8">
        <f>IF(F9*(1+$K$6)&lt;'Locality and Max Pay'!$D$7,F9*(1+$K$6),'Locality and Max Pay'!$D$7)</f>
        <v>68238.5385</v>
      </c>
      <c r="G11" s="8">
        <f>IF(G9*(1+$K$6)&lt;'Locality and Max Pay'!$D$7,G9*(1+$K$6),'Locality and Max Pay'!$D$7)</f>
        <v>75370.91589999999</v>
      </c>
      <c r="H11" s="8">
        <f>IF(H9*(1+$K$6)&lt;'Locality and Max Pay'!$D$7,H9*(1+$K$6),'Locality and Max Pay'!$D$7)</f>
        <v>91192.1621</v>
      </c>
      <c r="I11" s="8">
        <f>IF(I9*(1+$K$6)&lt;'Locality and Max Pay'!$D$7,I9*(1+$K$6),'Locality and Max Pay'!$D$7)</f>
        <v>109551.6256</v>
      </c>
      <c r="J11" s="8">
        <f>IF(J9*(1+$K$6)&lt;'Locality and Max Pay'!$D$7,J9*(1+$K$6),'Locality and Max Pay'!$D$7)</f>
        <v>131754.75079999998</v>
      </c>
      <c r="K11" s="8">
        <f>IF(K9*(1+$K$6)&lt;'Locality and Max Pay'!$D$7,K9*(1+$K$6),'Locality and Max Pay'!$D$7)</f>
        <v>161125.92849999998</v>
      </c>
      <c r="L11" s="8">
        <f>IF(L9*(1+$K$6)&lt;'Locality and Max Pay'!$D$7,L9*(1+$K$6),'Locality and Max Pay'!$D$7)</f>
        <v>189600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165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0.1593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21513.1301</v>
      </c>
      <c r="C10" s="8">
        <f>IF(C8*(1+$K$6)&lt;'Locality and Max Pay'!$D$7,C8*(1+$K$6),'Locality and Max Pay'!$D$7)</f>
        <v>24586.4344</v>
      </c>
      <c r="D10" s="8">
        <f>IF(D8*(1+$K$6)&lt;'Locality and Max Pay'!$D$7,D8*(1+$K$6),'Locality and Max Pay'!$D$7)</f>
        <v>27782.6245</v>
      </c>
      <c r="E10" s="8">
        <f>IF(E8*(1+$K$6)&lt;'Locality and Max Pay'!$D$7,E8*(1+$K$6),'Locality and Max Pay'!$D$7)</f>
        <v>32699.215799999998</v>
      </c>
      <c r="F10" s="8">
        <f>IF(F8*(1+$K$6)&lt;'Locality and Max Pay'!$D$7,F8*(1+$K$6),'Locality and Max Pay'!$D$7)</f>
        <v>39914.699</v>
      </c>
      <c r="G10" s="8">
        <f>IF(G8*(1+$K$6)&lt;'Locality and Max Pay'!$D$7,G8*(1+$K$6),'Locality and Max Pay'!$D$7)</f>
        <v>44085.8604</v>
      </c>
      <c r="H10" s="8">
        <f>IF(H8*(1+$K$6)&lt;'Locality and Max Pay'!$D$7,H8*(1+$K$6),'Locality and Max Pay'!$D$7)</f>
        <v>51616.6732</v>
      </c>
      <c r="I10" s="8">
        <f>IF(I8*(1+$K$6)&lt;'Locality and Max Pay'!$D$7,I8*(1+$K$6),'Locality and Max Pay'!$D$7)</f>
        <v>62010.957</v>
      </c>
      <c r="J10" s="8">
        <f>IF(J8*(1+$K$6)&lt;'Locality and Max Pay'!$D$7,J8*(1+$K$6),'Locality and Max Pay'!$D$7)</f>
        <v>74588.2027</v>
      </c>
      <c r="K10" s="8">
        <f>IF(K8*(1+$K$6)&lt;'Locality and Max Pay'!$D$7,K8*(1+$K$6),'Locality and Max Pay'!$D$7)</f>
        <v>91190.538</v>
      </c>
      <c r="L10" s="8">
        <f>IF(L8*(1+$K$6)&lt;'Locality and Max Pay'!$D$7,L8*(1+$K$6),'Locality and Max Pay'!$D$7)</f>
        <v>108270.5049</v>
      </c>
      <c r="M10" s="8">
        <f>IF(M8*(1+$K$6)&lt;'Locality and Max Pay'!$D$7,M8*(1+$K$6),'Locality and Max Pay'!$D$7)</f>
        <v>129324.5522</v>
      </c>
      <c r="N10" s="8">
        <f>IF(N8*(1+$K$6)&lt;'Locality and Max Pay'!$D$7,N8*(1+$K$6),'Locality and Max Pay'!$D$7)</f>
        <v>152312.3119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31225.7455</v>
      </c>
      <c r="C11" s="8">
        <f>IF(C9*(1+$K$6)&lt;'Locality and Max Pay'!$D$7,C9*(1+$K$6),'Locality and Max Pay'!$D$7)</f>
        <v>35650.7936</v>
      </c>
      <c r="D11" s="8">
        <f>IF(D9*(1+$K$6)&lt;'Locality and Max Pay'!$D$7,D9*(1+$K$6),'Locality and Max Pay'!$D$7)</f>
        <v>41673.3571</v>
      </c>
      <c r="E11" s="8">
        <f>IF(E9*(1+$K$6)&lt;'Locality and Max Pay'!$D$7,E9*(1+$K$6),'Locality and Max Pay'!$D$7)</f>
        <v>49049.983</v>
      </c>
      <c r="F11" s="8">
        <f>IF(F9*(1+$K$6)&lt;'Locality and Max Pay'!$D$7,F9*(1+$K$6),'Locality and Max Pay'!$D$7)</f>
        <v>59872.0485</v>
      </c>
      <c r="G11" s="8">
        <f>IF(G9*(1+$K$6)&lt;'Locality and Max Pay'!$D$7,G9*(1+$K$6),'Locality and Max Pay'!$D$7)</f>
        <v>66129.9499</v>
      </c>
      <c r="H11" s="8">
        <f>IF(H9*(1+$K$6)&lt;'Locality and Max Pay'!$D$7,H9*(1+$K$6),'Locality and Max Pay'!$D$7)</f>
        <v>80011.4081</v>
      </c>
      <c r="I11" s="8">
        <f>IF(I9*(1+$K$6)&lt;'Locality and Max Pay'!$D$7,I9*(1+$K$6),'Locality and Max Pay'!$D$7)</f>
        <v>96119.8816</v>
      </c>
      <c r="J11" s="8">
        <f>IF(J9*(1+$K$6)&lt;'Locality and Max Pay'!$D$7,J9*(1+$K$6),'Locality and Max Pay'!$D$7)</f>
        <v>115600.7588</v>
      </c>
      <c r="K11" s="8">
        <f>IF(K9*(1+$K$6)&lt;'Locality and Max Pay'!$D$7,K9*(1+$K$6),'Locality and Max Pay'!$D$7)</f>
        <v>141370.8385</v>
      </c>
      <c r="L11" s="8">
        <f>IF(L9*(1+$K$6)&lt;'Locality and Max Pay'!$D$7,L9*(1+$K$6),'Locality and Max Pay'!$D$7)</f>
        <v>167763.4623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134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0.2459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23120.1663</v>
      </c>
      <c r="C10" s="8">
        <f>IF(C8*(1+$K$6)&lt;'Locality and Max Pay'!$D$7,C8*(1+$K$6),'Locality and Max Pay'!$D$7)</f>
        <v>26423.0472</v>
      </c>
      <c r="D10" s="8">
        <f>IF(D8*(1+$K$6)&lt;'Locality and Max Pay'!$D$7,D8*(1+$K$6),'Locality and Max Pay'!$D$7)</f>
        <v>29857.9935</v>
      </c>
      <c r="E10" s="8">
        <f>IF(E8*(1+$K$6)&lt;'Locality and Max Pay'!$D$7,E8*(1+$K$6),'Locality and Max Pay'!$D$7)</f>
        <v>35141.8554</v>
      </c>
      <c r="F10" s="8">
        <f>IF(F8*(1+$K$6)&lt;'Locality and Max Pay'!$D$7,F8*(1+$K$6),'Locality and Max Pay'!$D$7)</f>
        <v>42896.337</v>
      </c>
      <c r="G10" s="8">
        <f>IF(G8*(1+$K$6)&lt;'Locality and Max Pay'!$D$7,G8*(1+$K$6),'Locality and Max Pay'!$D$7)</f>
        <v>47379.0852</v>
      </c>
      <c r="H10" s="8">
        <f>IF(H8*(1+$K$6)&lt;'Locality and Max Pay'!$D$7,H8*(1+$K$6),'Locality and Max Pay'!$D$7)</f>
        <v>55472.4516</v>
      </c>
      <c r="I10" s="8">
        <f>IF(I8*(1+$K$6)&lt;'Locality and Max Pay'!$D$7,I8*(1+$K$6),'Locality and Max Pay'!$D$7)</f>
        <v>66643.191</v>
      </c>
      <c r="J10" s="8">
        <f>IF(J8*(1+$K$6)&lt;'Locality and Max Pay'!$D$7,J8*(1+$K$6),'Locality and Max Pay'!$D$7)</f>
        <v>80159.9601</v>
      </c>
      <c r="K10" s="8">
        <f>IF(K8*(1+$K$6)&lt;'Locality and Max Pay'!$D$7,K8*(1+$K$6),'Locality and Max Pay'!$D$7)</f>
        <v>98002.494</v>
      </c>
      <c r="L10" s="8">
        <f>IF(L8*(1+$K$6)&lt;'Locality and Max Pay'!$D$7,L8*(1+$K$6),'Locality and Max Pay'!$D$7)</f>
        <v>116358.33870000001</v>
      </c>
      <c r="M10" s="8">
        <f>IF(M8*(1+$K$6)&lt;'Locality and Max Pay'!$D$7,M8*(1+$K$6),'Locality and Max Pay'!$D$7)</f>
        <v>138985.1286</v>
      </c>
      <c r="N10" s="8">
        <f>IF(N8*(1+$K$6)&lt;'Locality and Max Pay'!$D$7,N8*(1+$K$6),'Locality and Max Pay'!$D$7)</f>
        <v>163690.0797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33558.3165</v>
      </c>
      <c r="C11" s="8">
        <f>IF(C9*(1+$K$6)&lt;'Locality and Max Pay'!$D$7,C9*(1+$K$6),'Locality and Max Pay'!$D$7)</f>
        <v>38313.9168</v>
      </c>
      <c r="D11" s="8">
        <f>IF(D9*(1+$K$6)&lt;'Locality and Max Pay'!$D$7,D9*(1+$K$6),'Locality and Max Pay'!$D$7)</f>
        <v>44786.3673</v>
      </c>
      <c r="E11" s="8">
        <f>IF(E9*(1+$K$6)&lt;'Locality and Max Pay'!$D$7,E9*(1+$K$6),'Locality and Max Pay'!$D$7)</f>
        <v>52714.029</v>
      </c>
      <c r="F11" s="8">
        <f>IF(F9*(1+$K$6)&lt;'Locality and Max Pay'!$D$7,F9*(1+$K$6),'Locality and Max Pay'!$D$7)</f>
        <v>64344.5055</v>
      </c>
      <c r="G11" s="8">
        <f>IF(G9*(1+$K$6)&lt;'Locality and Max Pay'!$D$7,G9*(1+$K$6),'Locality and Max Pay'!$D$7)</f>
        <v>71069.8737</v>
      </c>
      <c r="H11" s="8">
        <f>IF(H9*(1+$K$6)&lt;'Locality and Max Pay'!$D$7,H9*(1+$K$6),'Locality and Max Pay'!$D$7)</f>
        <v>85988.2803</v>
      </c>
      <c r="I11" s="8">
        <f>IF(I9*(1+$K$6)&lt;'Locality and Max Pay'!$D$7,I9*(1+$K$6),'Locality and Max Pay'!$D$7)</f>
        <v>103300.0608</v>
      </c>
      <c r="J11" s="8">
        <f>IF(J9*(1+$K$6)&lt;'Locality and Max Pay'!$D$7,J9*(1+$K$6),'Locality and Max Pay'!$D$7)</f>
        <v>124236.1644</v>
      </c>
      <c r="K11" s="8">
        <f>IF(K9*(1+$K$6)&lt;'Locality and Max Pay'!$D$7,K9*(1+$K$6),'Locality and Max Pay'!$D$7)</f>
        <v>151931.2755</v>
      </c>
      <c r="L11" s="8">
        <f>IF(L9*(1+$K$6)&lt;'Locality and Max Pay'!$D$7,L9*(1+$K$6),'Locality and Max Pay'!$D$7)</f>
        <v>180295.4349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110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0.1909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22099.531300000002</v>
      </c>
      <c r="C10" s="8">
        <f>IF(C8*(1+$K$6)&lt;'Locality and Max Pay'!$D$7,C8*(1+$K$6),'Locality and Max Pay'!$D$7)</f>
        <v>25256.607200000002</v>
      </c>
      <c r="D10" s="8">
        <f>IF(D8*(1+$K$6)&lt;'Locality and Max Pay'!$D$7,D8*(1+$K$6),'Locality and Max Pay'!$D$7)</f>
        <v>28539.918500000003</v>
      </c>
      <c r="E10" s="8">
        <f>IF(E8*(1+$K$6)&lt;'Locality and Max Pay'!$D$7,E8*(1+$K$6),'Locality and Max Pay'!$D$7)</f>
        <v>33590.5254</v>
      </c>
      <c r="F10" s="8">
        <f>IF(F8*(1+$K$6)&lt;'Locality and Max Pay'!$D$7,F8*(1+$K$6),'Locality and Max Pay'!$D$7)</f>
        <v>41002.687000000005</v>
      </c>
      <c r="G10" s="8">
        <f>IF(G8*(1+$K$6)&lt;'Locality and Max Pay'!$D$7,G8*(1+$K$6),'Locality and Max Pay'!$D$7)</f>
        <v>45287.5452</v>
      </c>
      <c r="H10" s="8">
        <f>IF(H8*(1+$K$6)&lt;'Locality and Max Pay'!$D$7,H8*(1+$K$6),'Locality and Max Pay'!$D$7)</f>
        <v>53023.6316</v>
      </c>
      <c r="I10" s="8">
        <f>IF(I8*(1+$K$6)&lt;'Locality and Max Pay'!$D$7,I8*(1+$K$6),'Locality and Max Pay'!$D$7)</f>
        <v>63701.241</v>
      </c>
      <c r="J10" s="8">
        <f>IF(J8*(1+$K$6)&lt;'Locality and Max Pay'!$D$7,J8*(1+$K$6),'Locality and Max Pay'!$D$7)</f>
        <v>76621.3151</v>
      </c>
      <c r="K10" s="8">
        <f>IF(K8*(1+$K$6)&lt;'Locality and Max Pay'!$D$7,K8*(1+$K$6),'Locality and Max Pay'!$D$7)</f>
        <v>93676.194</v>
      </c>
      <c r="L10" s="8">
        <f>IF(L8*(1+$K$6)&lt;'Locality and Max Pay'!$D$7,L8*(1+$K$6),'Locality and Max Pay'!$D$7)</f>
        <v>111221.7237</v>
      </c>
      <c r="M10" s="8">
        <f>IF(M8*(1+$K$6)&lt;'Locality and Max Pay'!$D$7,M8*(1+$K$6),'Locality and Max Pay'!$D$7)</f>
        <v>132849.6586</v>
      </c>
      <c r="N10" s="8">
        <f>IF(N8*(1+$K$6)&lt;'Locality and Max Pay'!$D$7,N8*(1+$K$6),'Locality and Max Pay'!$D$7)</f>
        <v>156464.0147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32076.8915</v>
      </c>
      <c r="C11" s="8">
        <f>IF(C9*(1+$K$6)&lt;'Locality and Max Pay'!$D$7,C9*(1+$K$6),'Locality and Max Pay'!$D$7)</f>
        <v>36622.556800000006</v>
      </c>
      <c r="D11" s="8">
        <f>IF(D9*(1+$K$6)&lt;'Locality and Max Pay'!$D$7,D9*(1+$K$6),'Locality and Max Pay'!$D$7)</f>
        <v>42809.2823</v>
      </c>
      <c r="E11" s="8">
        <f>IF(E9*(1+$K$6)&lt;'Locality and Max Pay'!$D$7,E9*(1+$K$6),'Locality and Max Pay'!$D$7)</f>
        <v>50386.979</v>
      </c>
      <c r="F11" s="8">
        <f>IF(F9*(1+$K$6)&lt;'Locality and Max Pay'!$D$7,F9*(1+$K$6),'Locality and Max Pay'!$D$7)</f>
        <v>61504.0305</v>
      </c>
      <c r="G11" s="8">
        <f>IF(G9*(1+$K$6)&lt;'Locality and Max Pay'!$D$7,G9*(1+$K$6),'Locality and Max Pay'!$D$7)</f>
        <v>67932.5087</v>
      </c>
      <c r="H11" s="8">
        <f>IF(H9*(1+$K$6)&lt;'Locality and Max Pay'!$D$7,H9*(1+$K$6),'Locality and Max Pay'!$D$7)</f>
        <v>82192.3453</v>
      </c>
      <c r="I11" s="8">
        <f>IF(I9*(1+$K$6)&lt;'Locality and Max Pay'!$D$7,I9*(1+$K$6),'Locality and Max Pay'!$D$7)</f>
        <v>98739.9008</v>
      </c>
      <c r="J11" s="8">
        <f>IF(J9*(1+$K$6)&lt;'Locality and Max Pay'!$D$7,J9*(1+$K$6),'Locality and Max Pay'!$D$7)</f>
        <v>118751.7844</v>
      </c>
      <c r="K11" s="8">
        <f>IF(K9*(1+$K$6)&lt;'Locality and Max Pay'!$D$7,K9*(1+$K$6),'Locality and Max Pay'!$D$7)</f>
        <v>145224.3005</v>
      </c>
      <c r="L11" s="8">
        <f>IF(L9*(1+$K$6)&lt;'Locality and Max Pay'!$D$7,L9*(1+$K$6),'Locality and Max Pay'!$D$7)</f>
        <v>172336.3299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58:A61"/>
    <mergeCell ref="A25:A28"/>
    <mergeCell ref="A30:A33"/>
    <mergeCell ref="A35:A38"/>
    <mergeCell ref="A40:A43"/>
    <mergeCell ref="A45:A48"/>
    <mergeCell ref="A50:A51"/>
    <mergeCell ref="A53:A56"/>
    <mergeCell ref="B6:H6"/>
    <mergeCell ref="A13:A14"/>
    <mergeCell ref="A16:A18"/>
    <mergeCell ref="A20:A23"/>
    <mergeCell ref="A2:N2"/>
    <mergeCell ref="A4:N4"/>
    <mergeCell ref="A83:A86"/>
    <mergeCell ref="A87:N87"/>
    <mergeCell ref="A63:A66"/>
    <mergeCell ref="A68:A71"/>
    <mergeCell ref="A73:A76"/>
    <mergeCell ref="A78:A8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135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0.1835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21962.2095</v>
      </c>
      <c r="C10" s="8">
        <f>IF(C8*(1+$K$6)&lt;'Locality and Max Pay'!$D$7,C8*(1+$K$6),'Locality and Max Pay'!$D$7)</f>
        <v>25099.668</v>
      </c>
      <c r="D10" s="8">
        <f>IF(D8*(1+$K$6)&lt;'Locality and Max Pay'!$D$7,D8*(1+$K$6),'Locality and Max Pay'!$D$7)</f>
        <v>28362.5775</v>
      </c>
      <c r="E10" s="8">
        <f>IF(E8*(1+$K$6)&lt;'Locality and Max Pay'!$D$7,E8*(1+$K$6),'Locality and Max Pay'!$D$7)</f>
        <v>33381.801</v>
      </c>
      <c r="F10" s="8">
        <f>IF(F8*(1+$K$6)&lt;'Locality and Max Pay'!$D$7,F8*(1+$K$6),'Locality and Max Pay'!$D$7)</f>
        <v>40747.905</v>
      </c>
      <c r="G10" s="8">
        <f>IF(G8*(1+$K$6)&lt;'Locality and Max Pay'!$D$7,G8*(1+$K$6),'Locality and Max Pay'!$D$7)</f>
        <v>45006.138</v>
      </c>
      <c r="H10" s="8">
        <f>IF(H8*(1+$K$6)&lt;'Locality and Max Pay'!$D$7,H8*(1+$K$6),'Locality and Max Pay'!$D$7)</f>
        <v>52694.154</v>
      </c>
      <c r="I10" s="8">
        <f>IF(I8*(1+$K$6)&lt;'Locality and Max Pay'!$D$7,I8*(1+$K$6),'Locality and Max Pay'!$D$7)</f>
        <v>63305.415</v>
      </c>
      <c r="J10" s="8">
        <f>IF(J8*(1+$K$6)&lt;'Locality and Max Pay'!$D$7,J8*(1+$K$6),'Locality and Max Pay'!$D$7)</f>
        <v>76145.2065</v>
      </c>
      <c r="K10" s="8">
        <f>IF(K8*(1+$K$6)&lt;'Locality and Max Pay'!$D$7,K8*(1+$K$6),'Locality and Max Pay'!$D$7)</f>
        <v>93094.11</v>
      </c>
      <c r="L10" s="8">
        <f>IF(L8*(1+$K$6)&lt;'Locality and Max Pay'!$D$7,L8*(1+$K$6),'Locality and Max Pay'!$D$7)</f>
        <v>110530.6155</v>
      </c>
      <c r="M10" s="8">
        <f>IF(M8*(1+$K$6)&lt;'Locality and Max Pay'!$D$7,M8*(1+$K$6),'Locality and Max Pay'!$D$7)</f>
        <v>132024.15899999999</v>
      </c>
      <c r="N10" s="8">
        <f>IF(N8*(1+$K$6)&lt;'Locality and Max Pay'!$D$7,N8*(1+$K$6),'Locality and Max Pay'!$D$7)</f>
        <v>155491.7805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31877.5725</v>
      </c>
      <c r="C11" s="8">
        <f>IF(C9*(1+$K$6)&lt;'Locality and Max Pay'!$D$7,C9*(1+$K$6),'Locality and Max Pay'!$D$7)</f>
        <v>36394.992</v>
      </c>
      <c r="D11" s="8">
        <f>IF(D9*(1+$K$6)&lt;'Locality and Max Pay'!$D$7,D9*(1+$K$6),'Locality and Max Pay'!$D$7)</f>
        <v>42543.2745</v>
      </c>
      <c r="E11" s="8">
        <f>IF(E9*(1+$K$6)&lt;'Locality and Max Pay'!$D$7,E9*(1+$K$6),'Locality and Max Pay'!$D$7)</f>
        <v>50073.885</v>
      </c>
      <c r="F11" s="8">
        <f>IF(F9*(1+$K$6)&lt;'Locality and Max Pay'!$D$7,F9*(1+$K$6),'Locality and Max Pay'!$D$7)</f>
        <v>61121.8575</v>
      </c>
      <c r="G11" s="8">
        <f>IF(G9*(1+$K$6)&lt;'Locality and Max Pay'!$D$7,G9*(1+$K$6),'Locality and Max Pay'!$D$7)</f>
        <v>67510.3905</v>
      </c>
      <c r="H11" s="8">
        <f>IF(H9*(1+$K$6)&lt;'Locality and Max Pay'!$D$7,H9*(1+$K$6),'Locality and Max Pay'!$D$7)</f>
        <v>81681.6195</v>
      </c>
      <c r="I11" s="8">
        <f>IF(I9*(1+$K$6)&lt;'Locality and Max Pay'!$D$7,I9*(1+$K$6),'Locality and Max Pay'!$D$7)</f>
        <v>98126.352</v>
      </c>
      <c r="J11" s="8">
        <f>IF(J9*(1+$K$6)&lt;'Locality and Max Pay'!$D$7,J9*(1+$K$6),'Locality and Max Pay'!$D$7)</f>
        <v>118013.886</v>
      </c>
      <c r="K11" s="8">
        <f>IF(K9*(1+$K$6)&lt;'Locality and Max Pay'!$D$7,K9*(1+$K$6),'Locality and Max Pay'!$D$7)</f>
        <v>144321.9075</v>
      </c>
      <c r="L11" s="8">
        <f>IF(L9*(1+$K$6)&lt;'Locality and Max Pay'!$D$7,L9*(1+$K$6),'Locality and Max Pay'!$D$7)</f>
        <v>171265.4685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115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0.2802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23756.6714</v>
      </c>
      <c r="C10" s="8">
        <f>IF(C8*(1+$K$6)&lt;'Locality and Max Pay'!$D$7,C8*(1+$K$6),'Locality and Max Pay'!$D$7)</f>
        <v>27150.4816</v>
      </c>
      <c r="D10" s="8">
        <f>IF(D8*(1+$K$6)&lt;'Locality and Max Pay'!$D$7,D8*(1+$K$6),'Locality and Max Pay'!$D$7)</f>
        <v>30679.993</v>
      </c>
      <c r="E10" s="8">
        <f>IF(E8*(1+$K$6)&lt;'Locality and Max Pay'!$D$7,E8*(1+$K$6),'Locality and Max Pay'!$D$7)</f>
        <v>36109.3212</v>
      </c>
      <c r="F10" s="8">
        <f>IF(F8*(1+$K$6)&lt;'Locality and Max Pay'!$D$7,F8*(1+$K$6),'Locality and Max Pay'!$D$7)</f>
        <v>44077.286</v>
      </c>
      <c r="G10" s="8">
        <f>IF(G8*(1+$K$6)&lt;'Locality and Max Pay'!$D$7,G8*(1+$K$6),'Locality and Max Pay'!$D$7)</f>
        <v>48683.4456</v>
      </c>
      <c r="H10" s="8">
        <f>IF(H8*(1+$K$6)&lt;'Locality and Max Pay'!$D$7,H8*(1+$K$6),'Locality and Max Pay'!$D$7)</f>
        <v>56999.6248</v>
      </c>
      <c r="I10" s="8">
        <f>IF(I8*(1+$K$6)&lt;'Locality and Max Pay'!$D$7,I8*(1+$K$6),'Locality and Max Pay'!$D$7)</f>
        <v>68477.898</v>
      </c>
      <c r="J10" s="8">
        <f>IF(J8*(1+$K$6)&lt;'Locality and Max Pay'!$D$7,J8*(1+$K$6),'Locality and Max Pay'!$D$7)</f>
        <v>82366.7878</v>
      </c>
      <c r="K10" s="8">
        <f>IF(K8*(1+$K$6)&lt;'Locality and Max Pay'!$D$7,K8*(1+$K$6),'Locality and Max Pay'!$D$7)</f>
        <v>100700.532</v>
      </c>
      <c r="L10" s="8">
        <f>IF(L8*(1+$K$6)&lt;'Locality and Max Pay'!$D$7,L8*(1+$K$6),'Locality and Max Pay'!$D$7)</f>
        <v>119561.71860000001</v>
      </c>
      <c r="M10" s="8">
        <f>IF(M8*(1+$K$6)&lt;'Locality and Max Pay'!$D$7,M8*(1+$K$6),'Locality and Max Pay'!$D$7)</f>
        <v>142811.4308</v>
      </c>
      <c r="N10" s="8">
        <f>IF(N8*(1+$K$6)&lt;'Locality and Max Pay'!$D$7,N8*(1+$K$6),'Locality and Max Pay'!$D$7)</f>
        <v>168196.5166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34482.187</v>
      </c>
      <c r="C11" s="8">
        <f>IF(C9*(1+$K$6)&lt;'Locality and Max Pay'!$D$7,C9*(1+$K$6),'Locality and Max Pay'!$D$7)</f>
        <v>39368.7104</v>
      </c>
      <c r="D11" s="8">
        <f>IF(D9*(1+$K$6)&lt;'Locality and Max Pay'!$D$7,D9*(1+$K$6),'Locality and Max Pay'!$D$7)</f>
        <v>46019.3494</v>
      </c>
      <c r="E11" s="8">
        <f>IF(E9*(1+$K$6)&lt;'Locality and Max Pay'!$D$7,E9*(1+$K$6),'Locality and Max Pay'!$D$7)</f>
        <v>54165.262</v>
      </c>
      <c r="F11" s="8">
        <f>IF(F9*(1+$K$6)&lt;'Locality and Max Pay'!$D$7,F9*(1+$K$6),'Locality and Max Pay'!$D$7)</f>
        <v>66115.929</v>
      </c>
      <c r="G11" s="8">
        <f>IF(G9*(1+$K$6)&lt;'Locality and Max Pay'!$D$7,G9*(1+$K$6),'Locality and Max Pay'!$D$7)</f>
        <v>73026.4486</v>
      </c>
      <c r="H11" s="8">
        <f>IF(H9*(1+$K$6)&lt;'Locality and Max Pay'!$D$7,H9*(1+$K$6),'Locality and Max Pay'!$D$7)</f>
        <v>88355.5634</v>
      </c>
      <c r="I11" s="8">
        <f>IF(I9*(1+$K$6)&lt;'Locality and Max Pay'!$D$7,I9*(1+$K$6),'Locality and Max Pay'!$D$7)</f>
        <v>106143.9424</v>
      </c>
      <c r="J11" s="8">
        <f>IF(J9*(1+$K$6)&lt;'Locality and Max Pay'!$D$7,J9*(1+$K$6),'Locality and Max Pay'!$D$7)</f>
        <v>127656.4232</v>
      </c>
      <c r="K11" s="8">
        <f>IF(K9*(1+$K$6)&lt;'Locality and Max Pay'!$D$7,K9*(1+$K$6),'Locality and Max Pay'!$D$7)</f>
        <v>156113.989</v>
      </c>
      <c r="L11" s="8">
        <f>IF(L9*(1+$K$6)&lt;'Locality and Max Pay'!$D$7,L9*(1+$K$6),'Locality and Max Pay'!$D$7)</f>
        <v>185259.0222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2:N2"/>
    <mergeCell ref="A87:N87"/>
    <mergeCell ref="A63:A66"/>
    <mergeCell ref="A73:A76"/>
    <mergeCell ref="A78:A81"/>
    <mergeCell ref="A83:A86"/>
    <mergeCell ref="A68:A71"/>
    <mergeCell ref="A50:A51"/>
    <mergeCell ref="A53:A56"/>
    <mergeCell ref="A58:A61"/>
    <mergeCell ref="A45:A48"/>
    <mergeCell ref="B6:H6"/>
    <mergeCell ref="A25:A28"/>
    <mergeCell ref="A30:A33"/>
    <mergeCell ref="A35:A38"/>
    <mergeCell ref="A40:A43"/>
    <mergeCell ref="A13:A14"/>
    <mergeCell ref="A16:A18"/>
    <mergeCell ref="A20:A23"/>
    <mergeCell ref="A4:N4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136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0.2253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22737.8921</v>
      </c>
      <c r="C10" s="8">
        <f>IF(C8*(1+$K$6)&lt;'Locality and Max Pay'!$D$7,C8*(1+$K$6),'Locality and Max Pay'!$D$7)</f>
        <v>25986.1624</v>
      </c>
      <c r="D10" s="8">
        <f>IF(D8*(1+$K$6)&lt;'Locality and Max Pay'!$D$7,D8*(1+$K$6),'Locality and Max Pay'!$D$7)</f>
        <v>29364.3145</v>
      </c>
      <c r="E10" s="8">
        <f>IF(E8*(1+$K$6)&lt;'Locality and Max Pay'!$D$7,E8*(1+$K$6),'Locality and Max Pay'!$D$7)</f>
        <v>34560.8118</v>
      </c>
      <c r="F10" s="8">
        <f>IF(F8*(1+$K$6)&lt;'Locality and Max Pay'!$D$7,F8*(1+$K$6),'Locality and Max Pay'!$D$7)</f>
        <v>42187.079000000005</v>
      </c>
      <c r="G10" s="8">
        <f>IF(G8*(1+$K$6)&lt;'Locality and Max Pay'!$D$7,G8*(1+$K$6),'Locality and Max Pay'!$D$7)</f>
        <v>46595.7084</v>
      </c>
      <c r="H10" s="8">
        <f>IF(H8*(1+$K$6)&lt;'Locality and Max Pay'!$D$7,H8*(1+$K$6),'Locality and Max Pay'!$D$7)</f>
        <v>54555.2572</v>
      </c>
      <c r="I10" s="8">
        <f>IF(I8*(1+$K$6)&lt;'Locality and Max Pay'!$D$7,I8*(1+$K$6),'Locality and Max Pay'!$D$7)</f>
        <v>65541.297</v>
      </c>
      <c r="J10" s="8">
        <f>IF(J8*(1+$K$6)&lt;'Locality and Max Pay'!$D$7,J8*(1+$K$6),'Locality and Max Pay'!$D$7)</f>
        <v>78834.5767</v>
      </c>
      <c r="K10" s="8">
        <f>IF(K8*(1+$K$6)&lt;'Locality and Max Pay'!$D$7,K8*(1+$K$6),'Locality and Max Pay'!$D$7)</f>
        <v>96382.098</v>
      </c>
      <c r="L10" s="8">
        <f>IF(L8*(1+$K$6)&lt;'Locality and Max Pay'!$D$7,L8*(1+$K$6),'Locality and Max Pay'!$D$7)</f>
        <v>114434.44290000001</v>
      </c>
      <c r="M10" s="8">
        <f>IF(M8*(1+$K$6)&lt;'Locality and Max Pay'!$D$7,M8*(1+$K$6),'Locality and Max Pay'!$D$7)</f>
        <v>136687.11620000002</v>
      </c>
      <c r="N10" s="8">
        <f>IF(N8*(1+$K$6)&lt;'Locality and Max Pay'!$D$7,N8*(1+$K$6),'Locality and Max Pay'!$D$7)</f>
        <v>160983.58990000002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33003.455500000004</v>
      </c>
      <c r="C11" s="8">
        <f>IF(C9*(1+$K$6)&lt;'Locality and Max Pay'!$D$7,C9*(1+$K$6),'Locality and Max Pay'!$D$7)</f>
        <v>37680.4256</v>
      </c>
      <c r="D11" s="8">
        <f>IF(D9*(1+$K$6)&lt;'Locality and Max Pay'!$D$7,D9*(1+$K$6),'Locality and Max Pay'!$D$7)</f>
        <v>44045.8591</v>
      </c>
      <c r="E11" s="8">
        <f>IF(E9*(1+$K$6)&lt;'Locality and Max Pay'!$D$7,E9*(1+$K$6),'Locality and Max Pay'!$D$7)</f>
        <v>51842.443</v>
      </c>
      <c r="F11" s="8">
        <f>IF(F9*(1+$K$6)&lt;'Locality and Max Pay'!$D$7,F9*(1+$K$6),'Locality and Max Pay'!$D$7)</f>
        <v>63280.618500000004</v>
      </c>
      <c r="G11" s="8">
        <f>IF(G9*(1+$K$6)&lt;'Locality and Max Pay'!$D$7,G9*(1+$K$6),'Locality and Max Pay'!$D$7)</f>
        <v>69894.78790000001</v>
      </c>
      <c r="H11" s="8">
        <f>IF(H9*(1+$K$6)&lt;'Locality and Max Pay'!$D$7,H9*(1+$K$6),'Locality and Max Pay'!$D$7)</f>
        <v>84566.5301</v>
      </c>
      <c r="I11" s="8">
        <f>IF(I9*(1+$K$6)&lt;'Locality and Max Pay'!$D$7,I9*(1+$K$6),'Locality and Max Pay'!$D$7)</f>
        <v>101592.0736</v>
      </c>
      <c r="J11" s="8">
        <f>IF(J9*(1+$K$6)&lt;'Locality and Max Pay'!$D$7,J9*(1+$K$6),'Locality and Max Pay'!$D$7)</f>
        <v>122182.0148</v>
      </c>
      <c r="K11" s="8">
        <f>IF(K9*(1+$K$6)&lt;'Locality and Max Pay'!$D$7,K9*(1+$K$6),'Locality and Max Pay'!$D$7)</f>
        <v>149419.2085</v>
      </c>
      <c r="L11" s="8">
        <f>IF(L9*(1+$K$6)&lt;'Locality and Max Pay'!$D$7,L9*(1+$K$6),'Locality and Max Pay'!$D$7)</f>
        <v>177314.38830000002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111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0.1952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22179.3264</v>
      </c>
      <c r="C10" s="8">
        <f>IF(C8*(1+$K$6)&lt;'Locality and Max Pay'!$D$7,C8*(1+$K$6),'Locality and Max Pay'!$D$7)</f>
        <v>25347.801600000003</v>
      </c>
      <c r="D10" s="8">
        <f>IF(D8*(1+$K$6)&lt;'Locality and Max Pay'!$D$7,D8*(1+$K$6),'Locality and Max Pay'!$D$7)</f>
        <v>28642.968</v>
      </c>
      <c r="E10" s="8">
        <f>IF(E8*(1+$K$6)&lt;'Locality and Max Pay'!$D$7,E8*(1+$K$6),'Locality and Max Pay'!$D$7)</f>
        <v>33711.811200000004</v>
      </c>
      <c r="F10" s="8">
        <f>IF(F8*(1+$K$6)&lt;'Locality and Max Pay'!$D$7,F8*(1+$K$6),'Locality and Max Pay'!$D$7)</f>
        <v>41150.736000000004</v>
      </c>
      <c r="G10" s="8">
        <f>IF(G8*(1+$K$6)&lt;'Locality and Max Pay'!$D$7,G8*(1+$K$6),'Locality and Max Pay'!$D$7)</f>
        <v>45451.0656</v>
      </c>
      <c r="H10" s="8">
        <f>IF(H8*(1+$K$6)&lt;'Locality and Max Pay'!$D$7,H8*(1+$K$6),'Locality and Max Pay'!$D$7)</f>
        <v>53215.084800000004</v>
      </c>
      <c r="I10" s="8">
        <f>IF(I8*(1+$K$6)&lt;'Locality and Max Pay'!$D$7,I8*(1+$K$6),'Locality and Max Pay'!$D$7)</f>
        <v>63931.248</v>
      </c>
      <c r="J10" s="8">
        <f>IF(J8*(1+$K$6)&lt;'Locality and Max Pay'!$D$7,J8*(1+$K$6),'Locality and Max Pay'!$D$7)</f>
        <v>76897.9728</v>
      </c>
      <c r="K10" s="8">
        <f>IF(K8*(1+$K$6)&lt;'Locality and Max Pay'!$D$7,K8*(1+$K$6),'Locality and Max Pay'!$D$7)</f>
        <v>94014.432</v>
      </c>
      <c r="L10" s="8">
        <f>IF(L8*(1+$K$6)&lt;'Locality and Max Pay'!$D$7,L8*(1+$K$6),'Locality and Max Pay'!$D$7)</f>
        <v>111623.31360000001</v>
      </c>
      <c r="M10" s="8">
        <f>IF(M8*(1+$K$6)&lt;'Locality and Max Pay'!$D$7,M8*(1+$K$6),'Locality and Max Pay'!$D$7)</f>
        <v>133329.3408</v>
      </c>
      <c r="N10" s="8">
        <f>IF(N8*(1+$K$6)&lt;'Locality and Max Pay'!$D$7,N8*(1+$K$6),'Locality and Max Pay'!$D$7)</f>
        <v>157028.9616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32192.712</v>
      </c>
      <c r="C11" s="8">
        <f>IF(C9*(1+$K$6)&lt;'Locality and Max Pay'!$D$7,C9*(1+$K$6),'Locality and Max Pay'!$D$7)</f>
        <v>36754.7904</v>
      </c>
      <c r="D11" s="8">
        <f>IF(D9*(1+$K$6)&lt;'Locality and Max Pay'!$D$7,D9*(1+$K$6),'Locality and Max Pay'!$D$7)</f>
        <v>42963.854400000004</v>
      </c>
      <c r="E11" s="8">
        <f>IF(E9*(1+$K$6)&lt;'Locality and Max Pay'!$D$7,E9*(1+$K$6),'Locality and Max Pay'!$D$7)</f>
        <v>50568.912000000004</v>
      </c>
      <c r="F11" s="8">
        <f>IF(F9*(1+$K$6)&lt;'Locality and Max Pay'!$D$7,F9*(1+$K$6),'Locality and Max Pay'!$D$7)</f>
        <v>61726.104</v>
      </c>
      <c r="G11" s="8">
        <f>IF(G9*(1+$K$6)&lt;'Locality and Max Pay'!$D$7,G9*(1+$K$6),'Locality and Max Pay'!$D$7)</f>
        <v>68177.7936</v>
      </c>
      <c r="H11" s="8">
        <f>IF(H9*(1+$K$6)&lt;'Locality and Max Pay'!$D$7,H9*(1+$K$6),'Locality and Max Pay'!$D$7)</f>
        <v>82489.1184</v>
      </c>
      <c r="I11" s="8">
        <f>IF(I9*(1+$K$6)&lt;'Locality and Max Pay'!$D$7,I9*(1+$K$6),'Locality and Max Pay'!$D$7)</f>
        <v>99096.42240000001</v>
      </c>
      <c r="J11" s="8">
        <f>IF(J9*(1+$K$6)&lt;'Locality and Max Pay'!$D$7,J9*(1+$K$6),'Locality and Max Pay'!$D$7)</f>
        <v>119180.5632</v>
      </c>
      <c r="K11" s="8">
        <f>IF(K9*(1+$K$6)&lt;'Locality and Max Pay'!$D$7,K9*(1+$K$6),'Locality and Max Pay'!$D$7)</f>
        <v>145748.66400000002</v>
      </c>
      <c r="L11" s="8">
        <f>IF(L9*(1+$K$6)&lt;'Locality and Max Pay'!$D$7,L9*(1+$K$6),'Locality and Max Pay'!$D$7)</f>
        <v>172958.5872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58:A61"/>
    <mergeCell ref="A25:A28"/>
    <mergeCell ref="A30:A33"/>
    <mergeCell ref="A35:A38"/>
    <mergeCell ref="A40:A43"/>
    <mergeCell ref="A45:A48"/>
    <mergeCell ref="A50:A51"/>
    <mergeCell ref="A53:A56"/>
    <mergeCell ref="B6:H6"/>
    <mergeCell ref="A13:A14"/>
    <mergeCell ref="A16:A18"/>
    <mergeCell ref="A20:A23"/>
    <mergeCell ref="A2:N2"/>
    <mergeCell ref="A4:N4"/>
    <mergeCell ref="A83:A86"/>
    <mergeCell ref="A87:N87"/>
    <mergeCell ref="A63:A66"/>
    <mergeCell ref="A68:A71"/>
    <mergeCell ref="A73:A76"/>
    <mergeCell ref="A78:A8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138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0.1879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22043.8603</v>
      </c>
      <c r="C10" s="8">
        <f>IF(C8*(1+$K$6)&lt;'Locality and Max Pay'!$D$7,C8*(1+$K$6),'Locality and Max Pay'!$D$7)</f>
        <v>25192.9832</v>
      </c>
      <c r="D10" s="8">
        <f>IF(D8*(1+$K$6)&lt;'Locality and Max Pay'!$D$7,D8*(1+$K$6),'Locality and Max Pay'!$D$7)</f>
        <v>28468.0235</v>
      </c>
      <c r="E10" s="8">
        <f>IF(E8*(1+$K$6)&lt;'Locality and Max Pay'!$D$7,E8*(1+$K$6),'Locality and Max Pay'!$D$7)</f>
        <v>33505.9074</v>
      </c>
      <c r="F10" s="8">
        <f>IF(F8*(1+$K$6)&lt;'Locality and Max Pay'!$D$7,F8*(1+$K$6),'Locality and Max Pay'!$D$7)</f>
        <v>40899.397</v>
      </c>
      <c r="G10" s="8">
        <f>IF(G8*(1+$K$6)&lt;'Locality and Max Pay'!$D$7,G8*(1+$K$6),'Locality and Max Pay'!$D$7)</f>
        <v>45173.4612</v>
      </c>
      <c r="H10" s="8">
        <f>IF(H8*(1+$K$6)&lt;'Locality and Max Pay'!$D$7,H8*(1+$K$6),'Locality and Max Pay'!$D$7)</f>
        <v>52890.0596</v>
      </c>
      <c r="I10" s="8">
        <f>IF(I8*(1+$K$6)&lt;'Locality and Max Pay'!$D$7,I8*(1+$K$6),'Locality and Max Pay'!$D$7)</f>
        <v>63540.771</v>
      </c>
      <c r="J10" s="8">
        <f>IF(J8*(1+$K$6)&lt;'Locality and Max Pay'!$D$7,J8*(1+$K$6),'Locality and Max Pay'!$D$7)</f>
        <v>76428.2981</v>
      </c>
      <c r="K10" s="8">
        <f>IF(K8*(1+$K$6)&lt;'Locality and Max Pay'!$D$7,K8*(1+$K$6),'Locality and Max Pay'!$D$7)</f>
        <v>93440.21399999999</v>
      </c>
      <c r="L10" s="8">
        <f>IF(L8*(1+$K$6)&lt;'Locality and Max Pay'!$D$7,L8*(1+$K$6),'Locality and Max Pay'!$D$7)</f>
        <v>110941.5447</v>
      </c>
      <c r="M10" s="8">
        <f>IF(M8*(1+$K$6)&lt;'Locality and Max Pay'!$D$7,M8*(1+$K$6),'Locality and Max Pay'!$D$7)</f>
        <v>132514.99659999998</v>
      </c>
      <c r="N10" s="8">
        <f>IF(N8*(1+$K$6)&lt;'Locality and Max Pay'!$D$7,N8*(1+$K$6),'Locality and Max Pay'!$D$7)</f>
        <v>156069.8657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31996.086499999998</v>
      </c>
      <c r="C11" s="8">
        <f>IF(C9*(1+$K$6)&lt;'Locality and Max Pay'!$D$7,C9*(1+$K$6),'Locality and Max Pay'!$D$7)</f>
        <v>36530.3008</v>
      </c>
      <c r="D11" s="8">
        <f>IF(D9*(1+$K$6)&lt;'Locality and Max Pay'!$D$7,D9*(1+$K$6),'Locality and Max Pay'!$D$7)</f>
        <v>42701.4413</v>
      </c>
      <c r="E11" s="8">
        <f>IF(E9*(1+$K$6)&lt;'Locality and Max Pay'!$D$7,E9*(1+$K$6),'Locality and Max Pay'!$D$7)</f>
        <v>50260.049</v>
      </c>
      <c r="F11" s="8">
        <f>IF(F9*(1+$K$6)&lt;'Locality and Max Pay'!$D$7,F9*(1+$K$6),'Locality and Max Pay'!$D$7)</f>
        <v>61349.095499999996</v>
      </c>
      <c r="G11" s="8">
        <f>IF(G9*(1+$K$6)&lt;'Locality and Max Pay'!$D$7,G9*(1+$K$6),'Locality and Max Pay'!$D$7)</f>
        <v>67761.37969999999</v>
      </c>
      <c r="H11" s="8">
        <f>IF(H9*(1+$K$6)&lt;'Locality and Max Pay'!$D$7,H9*(1+$K$6),'Locality and Max Pay'!$D$7)</f>
        <v>81985.2943</v>
      </c>
      <c r="I11" s="8">
        <f>IF(I9*(1+$K$6)&lt;'Locality and Max Pay'!$D$7,I9*(1+$K$6),'Locality and Max Pay'!$D$7)</f>
        <v>98491.1648</v>
      </c>
      <c r="J11" s="8">
        <f>IF(J9*(1+$K$6)&lt;'Locality and Max Pay'!$D$7,J9*(1+$K$6),'Locality and Max Pay'!$D$7)</f>
        <v>118452.63639999999</v>
      </c>
      <c r="K11" s="8">
        <f>IF(K9*(1+$K$6)&lt;'Locality and Max Pay'!$D$7,K9*(1+$K$6),'Locality and Max Pay'!$D$7)</f>
        <v>144858.4655</v>
      </c>
      <c r="L11" s="8">
        <f>IF(L9*(1+$K$6)&lt;'Locality and Max Pay'!$D$7,L9*(1+$K$6),'Locality and Max Pay'!$D$7)</f>
        <v>171902.19689999998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139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0.2486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23170.2702</v>
      </c>
      <c r="C10" s="8">
        <f>IF(C8*(1+$K$6)&lt;'Locality and Max Pay'!$D$7,C8*(1+$K$6),'Locality and Max Pay'!$D$7)</f>
        <v>26480.3088</v>
      </c>
      <c r="D10" s="8">
        <f>IF(D8*(1+$K$6)&lt;'Locality and Max Pay'!$D$7,D8*(1+$K$6),'Locality and Max Pay'!$D$7)</f>
        <v>29922.698999999997</v>
      </c>
      <c r="E10" s="8">
        <f>IF(E8*(1+$K$6)&lt;'Locality and Max Pay'!$D$7,E8*(1+$K$6),'Locality and Max Pay'!$D$7)</f>
        <v>35218.0116</v>
      </c>
      <c r="F10" s="8">
        <f>IF(F8*(1+$K$6)&lt;'Locality and Max Pay'!$D$7,F8*(1+$K$6),'Locality and Max Pay'!$D$7)</f>
        <v>42989.297999999995</v>
      </c>
      <c r="G10" s="8">
        <f>IF(G8*(1+$K$6)&lt;'Locality and Max Pay'!$D$7,G8*(1+$K$6),'Locality and Max Pay'!$D$7)</f>
        <v>47481.7608</v>
      </c>
      <c r="H10" s="8">
        <f>IF(H8*(1+$K$6)&lt;'Locality and Max Pay'!$D$7,H8*(1+$K$6),'Locality and Max Pay'!$D$7)</f>
        <v>55592.666399999995</v>
      </c>
      <c r="I10" s="8">
        <f>IF(I8*(1+$K$6)&lt;'Locality and Max Pay'!$D$7,I8*(1+$K$6),'Locality and Max Pay'!$D$7)</f>
        <v>66787.614</v>
      </c>
      <c r="J10" s="8">
        <f>IF(J8*(1+$K$6)&lt;'Locality and Max Pay'!$D$7,J8*(1+$K$6),'Locality and Max Pay'!$D$7)</f>
        <v>80333.6754</v>
      </c>
      <c r="K10" s="8">
        <f>IF(K8*(1+$K$6)&lt;'Locality and Max Pay'!$D$7,K8*(1+$K$6),'Locality and Max Pay'!$D$7)</f>
        <v>98214.87599999999</v>
      </c>
      <c r="L10" s="8">
        <f>IF(L8*(1+$K$6)&lt;'Locality and Max Pay'!$D$7,L8*(1+$K$6),'Locality and Max Pay'!$D$7)</f>
        <v>116610.49979999999</v>
      </c>
      <c r="M10" s="8">
        <f>IF(M8*(1+$K$6)&lt;'Locality and Max Pay'!$D$7,M8*(1+$K$6),'Locality and Max Pay'!$D$7)</f>
        <v>139286.32439999998</v>
      </c>
      <c r="N10" s="8">
        <f>IF(N8*(1+$K$6)&lt;'Locality and Max Pay'!$D$7,N8*(1+$K$6),'Locality and Max Pay'!$D$7)</f>
        <v>164044.8138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33631.041</v>
      </c>
      <c r="C11" s="8">
        <f>IF(C9*(1+$K$6)&lt;'Locality and Max Pay'!$D$7,C9*(1+$K$6),'Locality and Max Pay'!$D$7)</f>
        <v>38396.947199999995</v>
      </c>
      <c r="D11" s="8">
        <f>IF(D9*(1+$K$6)&lt;'Locality and Max Pay'!$D$7,D9*(1+$K$6),'Locality and Max Pay'!$D$7)</f>
        <v>44883.424199999994</v>
      </c>
      <c r="E11" s="8">
        <f>IF(E9*(1+$K$6)&lt;'Locality and Max Pay'!$D$7,E9*(1+$K$6),'Locality and Max Pay'!$D$7)</f>
        <v>52828.265999999996</v>
      </c>
      <c r="F11" s="8">
        <f>IF(F9*(1+$K$6)&lt;'Locality and Max Pay'!$D$7,F9*(1+$K$6),'Locality and Max Pay'!$D$7)</f>
        <v>64483.947</v>
      </c>
      <c r="G11" s="8">
        <f>IF(G9*(1+$K$6)&lt;'Locality and Max Pay'!$D$7,G9*(1+$K$6),'Locality and Max Pay'!$D$7)</f>
        <v>71223.88979999999</v>
      </c>
      <c r="H11" s="8">
        <f>IF(H9*(1+$K$6)&lt;'Locality and Max Pay'!$D$7,H9*(1+$K$6),'Locality and Max Pay'!$D$7)</f>
        <v>86174.6262</v>
      </c>
      <c r="I11" s="8">
        <f>IF(I9*(1+$K$6)&lt;'Locality and Max Pay'!$D$7,I9*(1+$K$6),'Locality and Max Pay'!$D$7)</f>
        <v>103523.92319999999</v>
      </c>
      <c r="J11" s="8">
        <f>IF(J9*(1+$K$6)&lt;'Locality and Max Pay'!$D$7,J9*(1+$K$6),'Locality and Max Pay'!$D$7)</f>
        <v>124505.3976</v>
      </c>
      <c r="K11" s="8">
        <f>IF(K9*(1+$K$6)&lt;'Locality and Max Pay'!$D$7,K9*(1+$K$6),'Locality and Max Pay'!$D$7)</f>
        <v>152260.527</v>
      </c>
      <c r="L11" s="8">
        <f>IF(L9*(1+$K$6)&lt;'Locality and Max Pay'!$D$7,L9*(1+$K$6),'Locality and Max Pay'!$D$7)</f>
        <v>180686.15459999998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140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0.2788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23730.6916</v>
      </c>
      <c r="C10" s="8">
        <f>IF(C8*(1+$K$6)&lt;'Locality and Max Pay'!$D$7,C8*(1+$K$6),'Locality and Max Pay'!$D$7)</f>
        <v>27120.790399999998</v>
      </c>
      <c r="D10" s="8">
        <f>IF(D8*(1+$K$6)&lt;'Locality and Max Pay'!$D$7,D8*(1+$K$6),'Locality and Max Pay'!$D$7)</f>
        <v>30646.442</v>
      </c>
      <c r="E10" s="8">
        <f>IF(E8*(1+$K$6)&lt;'Locality and Max Pay'!$D$7,E8*(1+$K$6),'Locality and Max Pay'!$D$7)</f>
        <v>36069.8328</v>
      </c>
      <c r="F10" s="8">
        <f>IF(F8*(1+$K$6)&lt;'Locality and Max Pay'!$D$7,F8*(1+$K$6),'Locality and Max Pay'!$D$7)</f>
        <v>44029.083999999995</v>
      </c>
      <c r="G10" s="8">
        <f>IF(G8*(1+$K$6)&lt;'Locality and Max Pay'!$D$7,G8*(1+$K$6),'Locality and Max Pay'!$D$7)</f>
        <v>48630.206399999995</v>
      </c>
      <c r="H10" s="8">
        <f>IF(H8*(1+$K$6)&lt;'Locality and Max Pay'!$D$7,H8*(1+$K$6),'Locality and Max Pay'!$D$7)</f>
        <v>56937.2912</v>
      </c>
      <c r="I10" s="8">
        <f>IF(I8*(1+$K$6)&lt;'Locality and Max Pay'!$D$7,I8*(1+$K$6),'Locality and Max Pay'!$D$7)</f>
        <v>68403.012</v>
      </c>
      <c r="J10" s="8">
        <f>IF(J8*(1+$K$6)&lt;'Locality and Max Pay'!$D$7,J8*(1+$K$6),'Locality and Max Pay'!$D$7)</f>
        <v>82276.7132</v>
      </c>
      <c r="K10" s="8">
        <f>IF(K8*(1+$K$6)&lt;'Locality and Max Pay'!$D$7,K8*(1+$K$6),'Locality and Max Pay'!$D$7)</f>
        <v>100590.408</v>
      </c>
      <c r="L10" s="8">
        <f>IF(L8*(1+$K$6)&lt;'Locality and Max Pay'!$D$7,L8*(1+$K$6),'Locality and Max Pay'!$D$7)</f>
        <v>119430.9684</v>
      </c>
      <c r="M10" s="8">
        <f>IF(M8*(1+$K$6)&lt;'Locality and Max Pay'!$D$7,M8*(1+$K$6),'Locality and Max Pay'!$D$7)</f>
        <v>142655.25519999999</v>
      </c>
      <c r="N10" s="8">
        <f>IF(N8*(1+$K$6)&lt;'Locality and Max Pay'!$D$7,N8*(1+$K$6),'Locality and Max Pay'!$D$7)</f>
        <v>168012.5804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34444.477999999996</v>
      </c>
      <c r="C11" s="8">
        <f>IF(C9*(1+$K$6)&lt;'Locality and Max Pay'!$D$7,C9*(1+$K$6),'Locality and Max Pay'!$D$7)</f>
        <v>39325.6576</v>
      </c>
      <c r="D11" s="8">
        <f>IF(D9*(1+$K$6)&lt;'Locality and Max Pay'!$D$7,D9*(1+$K$6),'Locality and Max Pay'!$D$7)</f>
        <v>45969.0236</v>
      </c>
      <c r="E11" s="8">
        <f>IF(E9*(1+$K$6)&lt;'Locality and Max Pay'!$D$7,E9*(1+$K$6),'Locality and Max Pay'!$D$7)</f>
        <v>54106.028</v>
      </c>
      <c r="F11" s="8">
        <f>IF(F9*(1+$K$6)&lt;'Locality and Max Pay'!$D$7,F9*(1+$K$6),'Locality and Max Pay'!$D$7)</f>
        <v>66043.626</v>
      </c>
      <c r="G11" s="8">
        <f>IF(G9*(1+$K$6)&lt;'Locality and Max Pay'!$D$7,G9*(1+$K$6),'Locality and Max Pay'!$D$7)</f>
        <v>72946.5884</v>
      </c>
      <c r="H11" s="8">
        <f>IF(H9*(1+$K$6)&lt;'Locality and Max Pay'!$D$7,H9*(1+$K$6),'Locality and Max Pay'!$D$7)</f>
        <v>88258.9396</v>
      </c>
      <c r="I11" s="8">
        <f>IF(I9*(1+$K$6)&lt;'Locality and Max Pay'!$D$7,I9*(1+$K$6),'Locality and Max Pay'!$D$7)</f>
        <v>106027.86559999999</v>
      </c>
      <c r="J11" s="8">
        <f>IF(J9*(1+$K$6)&lt;'Locality and Max Pay'!$D$7,J9*(1+$K$6),'Locality and Max Pay'!$D$7)</f>
        <v>127516.82079999999</v>
      </c>
      <c r="K11" s="8">
        <f>IF(K9*(1+$K$6)&lt;'Locality and Max Pay'!$D$7,K9*(1+$K$6),'Locality and Max Pay'!$D$7)</f>
        <v>155943.266</v>
      </c>
      <c r="L11" s="8">
        <f>IF(L9*(1+$K$6)&lt;'Locality and Max Pay'!$D$7,L9*(1+$K$6),'Locality and Max Pay'!$D$7)</f>
        <v>185056.4268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141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0.3928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25846.1896</v>
      </c>
      <c r="C10" s="8">
        <f>IF(C8*(1+$K$6)&lt;'Locality and Max Pay'!$D$7,C8*(1+$K$6),'Locality and Max Pay'!$D$7)</f>
        <v>29538.5024</v>
      </c>
      <c r="D10" s="8">
        <f>IF(D8*(1+$K$6)&lt;'Locality and Max Pay'!$D$7,D8*(1+$K$6),'Locality and Max Pay'!$D$7)</f>
        <v>33378.452</v>
      </c>
      <c r="E10" s="8">
        <f>IF(E8*(1+$K$6)&lt;'Locality and Max Pay'!$D$7,E8*(1+$K$6),'Locality and Max Pay'!$D$7)</f>
        <v>39285.3168</v>
      </c>
      <c r="F10" s="8">
        <f>IF(F8*(1+$K$6)&lt;'Locality and Max Pay'!$D$7,F8*(1+$K$6),'Locality and Max Pay'!$D$7)</f>
        <v>47954.104</v>
      </c>
      <c r="G10" s="8">
        <f>IF(G8*(1+$K$6)&lt;'Locality and Max Pay'!$D$7,G8*(1+$K$6),'Locality and Max Pay'!$D$7)</f>
        <v>52965.3984</v>
      </c>
      <c r="H10" s="8">
        <f>IF(H8*(1+$K$6)&lt;'Locality and Max Pay'!$D$7,H8*(1+$K$6),'Locality and Max Pay'!$D$7)</f>
        <v>62013.027200000004</v>
      </c>
      <c r="I10" s="8">
        <f>IF(I8*(1+$K$6)&lt;'Locality and Max Pay'!$D$7,I8*(1+$K$6),'Locality and Max Pay'!$D$7)</f>
        <v>74500.872</v>
      </c>
      <c r="J10" s="8">
        <f>IF(J8*(1+$K$6)&lt;'Locality and Max Pay'!$D$7,J8*(1+$K$6),'Locality and Max Pay'!$D$7)</f>
        <v>89611.3592</v>
      </c>
      <c r="K10" s="8">
        <f>IF(K8*(1+$K$6)&lt;'Locality and Max Pay'!$D$7,K8*(1+$K$6),'Locality and Max Pay'!$D$7)</f>
        <v>109557.648</v>
      </c>
      <c r="L10" s="8">
        <f>IF(L8*(1+$K$6)&lt;'Locality and Max Pay'!$D$7,L8*(1+$K$6),'Locality and Max Pay'!$D$7)</f>
        <v>130077.77040000001</v>
      </c>
      <c r="M10" s="8">
        <f>IF(M8*(1+$K$6)&lt;'Locality and Max Pay'!$D$7,M8*(1+$K$6),'Locality and Max Pay'!$D$7)</f>
        <v>155372.4112</v>
      </c>
      <c r="N10" s="8">
        <f>IF(N8*(1+$K$6)&lt;'Locality and Max Pay'!$D$7,N8*(1+$K$6),'Locality and Max Pay'!$D$7)</f>
        <v>182990.24240000002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37515.068</v>
      </c>
      <c r="C11" s="8">
        <f>IF(C9*(1+$K$6)&lt;'Locality and Max Pay'!$D$7,C9*(1+$K$6),'Locality and Max Pay'!$D$7)</f>
        <v>42831.3856</v>
      </c>
      <c r="D11" s="8">
        <f>IF(D9*(1+$K$6)&lt;'Locality and Max Pay'!$D$7,D9*(1+$K$6),'Locality and Max Pay'!$D$7)</f>
        <v>50066.9816</v>
      </c>
      <c r="E11" s="8">
        <f>IF(E9*(1+$K$6)&lt;'Locality and Max Pay'!$D$7,E9*(1+$K$6),'Locality and Max Pay'!$D$7)</f>
        <v>58929.368</v>
      </c>
      <c r="F11" s="8">
        <f>IF(F9*(1+$K$6)&lt;'Locality and Max Pay'!$D$7,F9*(1+$K$6),'Locality and Max Pay'!$D$7)</f>
        <v>71931.156</v>
      </c>
      <c r="G11" s="8">
        <f>IF(G9*(1+$K$6)&lt;'Locality and Max Pay'!$D$7,G9*(1+$K$6),'Locality and Max Pay'!$D$7)</f>
        <v>79449.4904</v>
      </c>
      <c r="H11" s="8">
        <f>IF(H9*(1+$K$6)&lt;'Locality and Max Pay'!$D$7,H9*(1+$K$6),'Locality and Max Pay'!$D$7)</f>
        <v>96126.8776</v>
      </c>
      <c r="I11" s="8">
        <f>IF(I9*(1+$K$6)&lt;'Locality and Max Pay'!$D$7,I9*(1+$K$6),'Locality and Max Pay'!$D$7)</f>
        <v>115479.8336</v>
      </c>
      <c r="J11" s="8">
        <f>IF(J9*(1+$K$6)&lt;'Locality and Max Pay'!$D$7,J9*(1+$K$6),'Locality and Max Pay'!$D$7)</f>
        <v>138884.4448</v>
      </c>
      <c r="K11" s="8">
        <f>IF(K9*(1+$K$6)&lt;'Locality and Max Pay'!$D$7,K9*(1+$K$6),'Locality and Max Pay'!$D$7)</f>
        <v>169844.996</v>
      </c>
      <c r="L11" s="8">
        <f>IF(L9*(1+$K$6)&lt;'Locality and Max Pay'!$D$7,L9*(1+$K$6),'Locality and Max Pay'!$D$7)</f>
        <v>189600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142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0.2511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23216.6627</v>
      </c>
      <c r="C10" s="8">
        <f>IF(C8*(1+$K$6)&lt;'Locality and Max Pay'!$D$7,C8*(1+$K$6),'Locality and Max Pay'!$D$7)</f>
        <v>26533.328800000003</v>
      </c>
      <c r="D10" s="8">
        <f>IF(D8*(1+$K$6)&lt;'Locality and Max Pay'!$D$7,D8*(1+$K$6),'Locality and Max Pay'!$D$7)</f>
        <v>29982.611500000003</v>
      </c>
      <c r="E10" s="8">
        <f>IF(E8*(1+$K$6)&lt;'Locality and Max Pay'!$D$7,E8*(1+$K$6),'Locality and Max Pay'!$D$7)</f>
        <v>35288.526600000005</v>
      </c>
      <c r="F10" s="8">
        <f>IF(F8*(1+$K$6)&lt;'Locality and Max Pay'!$D$7,F8*(1+$K$6),'Locality and Max Pay'!$D$7)</f>
        <v>43075.37300000001</v>
      </c>
      <c r="G10" s="8">
        <f>IF(G8*(1+$K$6)&lt;'Locality and Max Pay'!$D$7,G8*(1+$K$6),'Locality and Max Pay'!$D$7)</f>
        <v>47576.8308</v>
      </c>
      <c r="H10" s="8">
        <f>IF(H8*(1+$K$6)&lt;'Locality and Max Pay'!$D$7,H8*(1+$K$6),'Locality and Max Pay'!$D$7)</f>
        <v>55703.97640000001</v>
      </c>
      <c r="I10" s="8">
        <f>IF(I8*(1+$K$6)&lt;'Locality and Max Pay'!$D$7,I8*(1+$K$6),'Locality and Max Pay'!$D$7)</f>
        <v>66921.339</v>
      </c>
      <c r="J10" s="8">
        <f>IF(J8*(1+$K$6)&lt;'Locality and Max Pay'!$D$7,J8*(1+$K$6),'Locality and Max Pay'!$D$7)</f>
        <v>80494.52290000001</v>
      </c>
      <c r="K10" s="8">
        <f>IF(K8*(1+$K$6)&lt;'Locality and Max Pay'!$D$7,K8*(1+$K$6),'Locality and Max Pay'!$D$7)</f>
        <v>98411.52600000001</v>
      </c>
      <c r="L10" s="8">
        <f>IF(L8*(1+$K$6)&lt;'Locality and Max Pay'!$D$7,L8*(1+$K$6),'Locality and Max Pay'!$D$7)</f>
        <v>116843.9823</v>
      </c>
      <c r="M10" s="8">
        <f>IF(M8*(1+$K$6)&lt;'Locality and Max Pay'!$D$7,M8*(1+$K$6),'Locality and Max Pay'!$D$7)</f>
        <v>139565.20940000002</v>
      </c>
      <c r="N10" s="8">
        <f>IF(N8*(1+$K$6)&lt;'Locality and Max Pay'!$D$7,N8*(1+$K$6),'Locality and Max Pay'!$D$7)</f>
        <v>164373.27130000002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33698.378500000006</v>
      </c>
      <c r="C11" s="8">
        <f>IF(C9*(1+$K$6)&lt;'Locality and Max Pay'!$D$7,C9*(1+$K$6),'Locality and Max Pay'!$D$7)</f>
        <v>38473.8272</v>
      </c>
      <c r="D11" s="8">
        <f>IF(D9*(1+$K$6)&lt;'Locality and Max Pay'!$D$7,D9*(1+$K$6),'Locality and Max Pay'!$D$7)</f>
        <v>44973.2917</v>
      </c>
      <c r="E11" s="8">
        <f>IF(E9*(1+$K$6)&lt;'Locality and Max Pay'!$D$7,E9*(1+$K$6),'Locality and Max Pay'!$D$7)</f>
        <v>52934.041000000005</v>
      </c>
      <c r="F11" s="8">
        <f>IF(F9*(1+$K$6)&lt;'Locality and Max Pay'!$D$7,F9*(1+$K$6),'Locality and Max Pay'!$D$7)</f>
        <v>64613.0595</v>
      </c>
      <c r="G11" s="8">
        <f>IF(G9*(1+$K$6)&lt;'Locality and Max Pay'!$D$7,G9*(1+$K$6),'Locality and Max Pay'!$D$7)</f>
        <v>71366.4973</v>
      </c>
      <c r="H11" s="8">
        <f>IF(H9*(1+$K$6)&lt;'Locality and Max Pay'!$D$7,H9*(1+$K$6),'Locality and Max Pay'!$D$7)</f>
        <v>86347.16870000001</v>
      </c>
      <c r="I11" s="8">
        <f>IF(I9*(1+$K$6)&lt;'Locality and Max Pay'!$D$7,I9*(1+$K$6),'Locality and Max Pay'!$D$7)</f>
        <v>103731.2032</v>
      </c>
      <c r="J11" s="8">
        <f>IF(J9*(1+$K$6)&lt;'Locality and Max Pay'!$D$7,J9*(1+$K$6),'Locality and Max Pay'!$D$7)</f>
        <v>124754.6876</v>
      </c>
      <c r="K11" s="8">
        <f>IF(K9*(1+$K$6)&lt;'Locality and Max Pay'!$D$7,K9*(1+$K$6),'Locality and Max Pay'!$D$7)</f>
        <v>152565.38950000002</v>
      </c>
      <c r="L11" s="8">
        <f>IF(L9*(1+$K$6)&lt;'Locality and Max Pay'!$D$7,L9*(1+$K$6),'Locality and Max Pay'!$D$7)</f>
        <v>181047.9321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166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0.1647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21613.337900000002</v>
      </c>
      <c r="C10" s="8">
        <f>IF(C8*(1+$K$6)&lt;'Locality and Max Pay'!$D$7,C8*(1+$K$6),'Locality and Max Pay'!$D$7)</f>
        <v>24700.9576</v>
      </c>
      <c r="D10" s="8">
        <f>IF(D8*(1+$K$6)&lt;'Locality and Max Pay'!$D$7,D8*(1+$K$6),'Locality and Max Pay'!$D$7)</f>
        <v>27912.0355</v>
      </c>
      <c r="E10" s="8">
        <f>IF(E8*(1+$K$6)&lt;'Locality and Max Pay'!$D$7,E8*(1+$K$6),'Locality and Max Pay'!$D$7)</f>
        <v>32851.5282</v>
      </c>
      <c r="F10" s="8">
        <f>IF(F8*(1+$K$6)&lt;'Locality and Max Pay'!$D$7,F8*(1+$K$6),'Locality and Max Pay'!$D$7)</f>
        <v>40100.621</v>
      </c>
      <c r="G10" s="8">
        <f>IF(G8*(1+$K$6)&lt;'Locality and Max Pay'!$D$7,G8*(1+$K$6),'Locality and Max Pay'!$D$7)</f>
        <v>44291.2116</v>
      </c>
      <c r="H10" s="8">
        <f>IF(H8*(1+$K$6)&lt;'Locality and Max Pay'!$D$7,H8*(1+$K$6),'Locality and Max Pay'!$D$7)</f>
        <v>51857.1028</v>
      </c>
      <c r="I10" s="8">
        <f>IF(I8*(1+$K$6)&lt;'Locality and Max Pay'!$D$7,I8*(1+$K$6),'Locality and Max Pay'!$D$7)</f>
        <v>62299.80300000001</v>
      </c>
      <c r="J10" s="8">
        <f>IF(J8*(1+$K$6)&lt;'Locality and Max Pay'!$D$7,J8*(1+$K$6),'Locality and Max Pay'!$D$7)</f>
        <v>74935.6333</v>
      </c>
      <c r="K10" s="8">
        <f>IF(K8*(1+$K$6)&lt;'Locality and Max Pay'!$D$7,K8*(1+$K$6),'Locality and Max Pay'!$D$7)</f>
        <v>91615.30200000001</v>
      </c>
      <c r="L10" s="8">
        <f>IF(L8*(1+$K$6)&lt;'Locality and Max Pay'!$D$7,L8*(1+$K$6),'Locality and Max Pay'!$D$7)</f>
        <v>108774.82710000001</v>
      </c>
      <c r="M10" s="8">
        <f>IF(M8*(1+$K$6)&lt;'Locality and Max Pay'!$D$7,M8*(1+$K$6),'Locality and Max Pay'!$D$7)</f>
        <v>129926.94380000001</v>
      </c>
      <c r="N10" s="8">
        <f>IF(N8*(1+$K$6)&lt;'Locality and Max Pay'!$D$7,N8*(1+$K$6),'Locality and Max Pay'!$D$7)</f>
        <v>153021.7801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31371.1945</v>
      </c>
      <c r="C11" s="8">
        <f>IF(C9*(1+$K$6)&lt;'Locality and Max Pay'!$D$7,C9*(1+$K$6),'Locality and Max Pay'!$D$7)</f>
        <v>35816.854400000004</v>
      </c>
      <c r="D11" s="8">
        <f>IF(D9*(1+$K$6)&lt;'Locality and Max Pay'!$D$7,D9*(1+$K$6),'Locality and Max Pay'!$D$7)</f>
        <v>41867.4709</v>
      </c>
      <c r="E11" s="8">
        <f>IF(E9*(1+$K$6)&lt;'Locality and Max Pay'!$D$7,E9*(1+$K$6),'Locality and Max Pay'!$D$7)</f>
        <v>49278.457</v>
      </c>
      <c r="F11" s="8">
        <f>IF(F9*(1+$K$6)&lt;'Locality and Max Pay'!$D$7,F9*(1+$K$6),'Locality and Max Pay'!$D$7)</f>
        <v>60150.931500000006</v>
      </c>
      <c r="G11" s="8">
        <f>IF(G9*(1+$K$6)&lt;'Locality and Max Pay'!$D$7,G9*(1+$K$6),'Locality and Max Pay'!$D$7)</f>
        <v>66437.98210000001</v>
      </c>
      <c r="H11" s="8">
        <f>IF(H9*(1+$K$6)&lt;'Locality and Max Pay'!$D$7,H9*(1+$K$6),'Locality and Max Pay'!$D$7)</f>
        <v>80384.0999</v>
      </c>
      <c r="I11" s="8">
        <f>IF(I9*(1+$K$6)&lt;'Locality and Max Pay'!$D$7,I9*(1+$K$6),'Locality and Max Pay'!$D$7)</f>
        <v>96567.6064</v>
      </c>
      <c r="J11" s="8">
        <f>IF(J9*(1+$K$6)&lt;'Locality and Max Pay'!$D$7,J9*(1+$K$6),'Locality and Max Pay'!$D$7)</f>
        <v>116139.2252</v>
      </c>
      <c r="K11" s="8">
        <f>IF(K9*(1+$K$6)&lt;'Locality and Max Pay'!$D$7,K9*(1+$K$6),'Locality and Max Pay'!$D$7)</f>
        <v>142029.3415</v>
      </c>
      <c r="L11" s="8">
        <f>IF(L9*(1+$K$6)&lt;'Locality and Max Pay'!$D$7,L9*(1+$K$6),'Locality and Max Pay'!$D$7)</f>
        <v>168544.90170000002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167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0.1617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21557.6669</v>
      </c>
      <c r="C10" s="8">
        <f>IF(C8*(1+$K$6)&lt;'Locality and Max Pay'!$D$7,C8*(1+$K$6),'Locality and Max Pay'!$D$7)</f>
        <v>24637.333599999998</v>
      </c>
      <c r="D10" s="8">
        <f>IF(D8*(1+$K$6)&lt;'Locality and Max Pay'!$D$7,D8*(1+$K$6),'Locality and Max Pay'!$D$7)</f>
        <v>27840.140499999998</v>
      </c>
      <c r="E10" s="8">
        <f>IF(E8*(1+$K$6)&lt;'Locality and Max Pay'!$D$7,E8*(1+$K$6),'Locality and Max Pay'!$D$7)</f>
        <v>32766.9102</v>
      </c>
      <c r="F10" s="8">
        <f>IF(F8*(1+$K$6)&lt;'Locality and Max Pay'!$D$7,F8*(1+$K$6),'Locality and Max Pay'!$D$7)</f>
        <v>39997.331</v>
      </c>
      <c r="G10" s="8">
        <f>IF(G8*(1+$K$6)&lt;'Locality and Max Pay'!$D$7,G8*(1+$K$6),'Locality and Max Pay'!$D$7)</f>
        <v>44177.1276</v>
      </c>
      <c r="H10" s="8">
        <f>IF(H8*(1+$K$6)&lt;'Locality and Max Pay'!$D$7,H8*(1+$K$6),'Locality and Max Pay'!$D$7)</f>
        <v>51723.5308</v>
      </c>
      <c r="I10" s="8">
        <f>IF(I8*(1+$K$6)&lt;'Locality and Max Pay'!$D$7,I8*(1+$K$6),'Locality and Max Pay'!$D$7)</f>
        <v>62139.333</v>
      </c>
      <c r="J10" s="8">
        <f>IF(J8*(1+$K$6)&lt;'Locality and Max Pay'!$D$7,J8*(1+$K$6),'Locality and Max Pay'!$D$7)</f>
        <v>74742.6163</v>
      </c>
      <c r="K10" s="8">
        <f>IF(K8*(1+$K$6)&lt;'Locality and Max Pay'!$D$7,K8*(1+$K$6),'Locality and Max Pay'!$D$7)</f>
        <v>91379.322</v>
      </c>
      <c r="L10" s="8">
        <f>IF(L8*(1+$K$6)&lt;'Locality and Max Pay'!$D$7,L8*(1+$K$6),'Locality and Max Pay'!$D$7)</f>
        <v>108494.64809999999</v>
      </c>
      <c r="M10" s="8">
        <f>IF(M8*(1+$K$6)&lt;'Locality and Max Pay'!$D$7,M8*(1+$K$6),'Locality and Max Pay'!$D$7)</f>
        <v>129592.2818</v>
      </c>
      <c r="N10" s="8">
        <f>IF(N8*(1+$K$6)&lt;'Locality and Max Pay'!$D$7,N8*(1+$K$6),'Locality and Max Pay'!$D$7)</f>
        <v>152627.6311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31290.389499999997</v>
      </c>
      <c r="C11" s="8">
        <f>IF(C9*(1+$K$6)&lt;'Locality and Max Pay'!$D$7,C9*(1+$K$6),'Locality and Max Pay'!$D$7)</f>
        <v>35724.598399999995</v>
      </c>
      <c r="D11" s="8">
        <f>IF(D9*(1+$K$6)&lt;'Locality and Max Pay'!$D$7,D9*(1+$K$6),'Locality and Max Pay'!$D$7)</f>
        <v>41759.6299</v>
      </c>
      <c r="E11" s="8">
        <f>IF(E9*(1+$K$6)&lt;'Locality and Max Pay'!$D$7,E9*(1+$K$6),'Locality and Max Pay'!$D$7)</f>
        <v>49151.526999999995</v>
      </c>
      <c r="F11" s="8">
        <f>IF(F9*(1+$K$6)&lt;'Locality and Max Pay'!$D$7,F9*(1+$K$6),'Locality and Max Pay'!$D$7)</f>
        <v>59995.9965</v>
      </c>
      <c r="G11" s="8">
        <f>IF(G9*(1+$K$6)&lt;'Locality and Max Pay'!$D$7,G9*(1+$K$6),'Locality and Max Pay'!$D$7)</f>
        <v>66266.8531</v>
      </c>
      <c r="H11" s="8">
        <f>IF(H9*(1+$K$6)&lt;'Locality and Max Pay'!$D$7,H9*(1+$K$6),'Locality and Max Pay'!$D$7)</f>
        <v>80177.0489</v>
      </c>
      <c r="I11" s="8">
        <f>IF(I9*(1+$K$6)&lt;'Locality and Max Pay'!$D$7,I9*(1+$K$6),'Locality and Max Pay'!$D$7)</f>
        <v>96318.8704</v>
      </c>
      <c r="J11" s="8">
        <f>IF(J9*(1+$K$6)&lt;'Locality and Max Pay'!$D$7,J9*(1+$K$6),'Locality and Max Pay'!$D$7)</f>
        <v>115840.0772</v>
      </c>
      <c r="K11" s="8">
        <f>IF(K9*(1+$K$6)&lt;'Locality and Max Pay'!$D$7,K9*(1+$K$6),'Locality and Max Pay'!$D$7)</f>
        <v>141663.5065</v>
      </c>
      <c r="L11" s="8">
        <f>IF(L9*(1+$K$6)&lt;'Locality and Max Pay'!$D$7,L9*(1+$K$6),'Locality and Max Pay'!$D$7)</f>
        <v>168110.7687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112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0.2822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23793.7854</v>
      </c>
      <c r="C10" s="8">
        <f>IF(C8*(1+$K$6)&lt;'Locality and Max Pay'!$D$7,C8*(1+$K$6),'Locality and Max Pay'!$D$7)</f>
        <v>27192.8976</v>
      </c>
      <c r="D10" s="8">
        <f>IF(D8*(1+$K$6)&lt;'Locality and Max Pay'!$D$7,D8*(1+$K$6),'Locality and Max Pay'!$D$7)</f>
        <v>30727.923</v>
      </c>
      <c r="E10" s="8">
        <f>IF(E8*(1+$K$6)&lt;'Locality and Max Pay'!$D$7,E8*(1+$K$6),'Locality and Max Pay'!$D$7)</f>
        <v>36165.7332</v>
      </c>
      <c r="F10" s="8">
        <f>IF(F8*(1+$K$6)&lt;'Locality and Max Pay'!$D$7,F8*(1+$K$6),'Locality and Max Pay'!$D$7)</f>
        <v>44146.146</v>
      </c>
      <c r="G10" s="8">
        <f>IF(G8*(1+$K$6)&lt;'Locality and Max Pay'!$D$7,G8*(1+$K$6),'Locality and Max Pay'!$D$7)</f>
        <v>48759.5016</v>
      </c>
      <c r="H10" s="8">
        <f>IF(H8*(1+$K$6)&lt;'Locality and Max Pay'!$D$7,H8*(1+$K$6),'Locality and Max Pay'!$D$7)</f>
        <v>57088.6728</v>
      </c>
      <c r="I10" s="8">
        <f>IF(I8*(1+$K$6)&lt;'Locality and Max Pay'!$D$7,I8*(1+$K$6),'Locality and Max Pay'!$D$7)</f>
        <v>68584.878</v>
      </c>
      <c r="J10" s="8">
        <f>IF(J8*(1+$K$6)&lt;'Locality and Max Pay'!$D$7,J8*(1+$K$6),'Locality and Max Pay'!$D$7)</f>
        <v>82495.4658</v>
      </c>
      <c r="K10" s="8">
        <f>IF(K8*(1+$K$6)&lt;'Locality and Max Pay'!$D$7,K8*(1+$K$6),'Locality and Max Pay'!$D$7)</f>
        <v>100857.852</v>
      </c>
      <c r="L10" s="8">
        <f>IF(L8*(1+$K$6)&lt;'Locality and Max Pay'!$D$7,L8*(1+$K$6),'Locality and Max Pay'!$D$7)</f>
        <v>119748.5046</v>
      </c>
      <c r="M10" s="8">
        <f>IF(M8*(1+$K$6)&lt;'Locality and Max Pay'!$D$7,M8*(1+$K$6),'Locality and Max Pay'!$D$7)</f>
        <v>143034.5388</v>
      </c>
      <c r="N10" s="8">
        <f>IF(N8*(1+$K$6)&lt;'Locality and Max Pay'!$D$7,N8*(1+$K$6),'Locality and Max Pay'!$D$7)</f>
        <v>168459.2826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34536.057</v>
      </c>
      <c r="C11" s="8">
        <f>IF(C9*(1+$K$6)&lt;'Locality and Max Pay'!$D$7,C9*(1+$K$6),'Locality and Max Pay'!$D$7)</f>
        <v>39430.2144</v>
      </c>
      <c r="D11" s="8">
        <f>IF(D9*(1+$K$6)&lt;'Locality and Max Pay'!$D$7,D9*(1+$K$6),'Locality and Max Pay'!$D$7)</f>
        <v>46091.2434</v>
      </c>
      <c r="E11" s="8">
        <f>IF(E9*(1+$K$6)&lt;'Locality and Max Pay'!$D$7,E9*(1+$K$6),'Locality and Max Pay'!$D$7)</f>
        <v>54249.882</v>
      </c>
      <c r="F11" s="8">
        <f>IF(F9*(1+$K$6)&lt;'Locality and Max Pay'!$D$7,F9*(1+$K$6),'Locality and Max Pay'!$D$7)</f>
        <v>66219.219</v>
      </c>
      <c r="G11" s="8">
        <f>IF(G9*(1+$K$6)&lt;'Locality and Max Pay'!$D$7,G9*(1+$K$6),'Locality and Max Pay'!$D$7)</f>
        <v>73140.5346</v>
      </c>
      <c r="H11" s="8">
        <f>IF(H9*(1+$K$6)&lt;'Locality and Max Pay'!$D$7,H9*(1+$K$6),'Locality and Max Pay'!$D$7)</f>
        <v>88493.5974</v>
      </c>
      <c r="I11" s="8">
        <f>IF(I9*(1+$K$6)&lt;'Locality and Max Pay'!$D$7,I9*(1+$K$6),'Locality and Max Pay'!$D$7)</f>
        <v>106309.76640000001</v>
      </c>
      <c r="J11" s="8">
        <f>IF(J9*(1+$K$6)&lt;'Locality and Max Pay'!$D$7,J9*(1+$K$6),'Locality and Max Pay'!$D$7)</f>
        <v>127855.8552</v>
      </c>
      <c r="K11" s="8">
        <f>IF(K9*(1+$K$6)&lt;'Locality and Max Pay'!$D$7,K9*(1+$K$6),'Locality and Max Pay'!$D$7)</f>
        <v>156357.879</v>
      </c>
      <c r="L11" s="8">
        <f>IF(L9*(1+$K$6)&lt;'Locality and Max Pay'!$D$7,L9*(1+$K$6),'Locality and Max Pay'!$D$7)</f>
        <v>185548.4442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155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0.165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21618.905000000002</v>
      </c>
      <c r="C10" s="8">
        <f>IF(C8*(1+$K$6)&lt;'Locality and Max Pay'!$D$7,C8*(1+$K$6),'Locality and Max Pay'!$D$7)</f>
        <v>24707.32</v>
      </c>
      <c r="D10" s="8">
        <f>IF(D8*(1+$K$6)&lt;'Locality and Max Pay'!$D$7,D8*(1+$K$6),'Locality and Max Pay'!$D$7)</f>
        <v>27919.225000000002</v>
      </c>
      <c r="E10" s="8">
        <f>IF(E8*(1+$K$6)&lt;'Locality and Max Pay'!$D$7,E8*(1+$K$6),'Locality and Max Pay'!$D$7)</f>
        <v>32859.99</v>
      </c>
      <c r="F10" s="8">
        <f>IF(F8*(1+$K$6)&lt;'Locality and Max Pay'!$D$7,F8*(1+$K$6),'Locality and Max Pay'!$D$7)</f>
        <v>40110.950000000004</v>
      </c>
      <c r="G10" s="8">
        <f>IF(G8*(1+$K$6)&lt;'Locality and Max Pay'!$D$7,G8*(1+$K$6),'Locality and Max Pay'!$D$7)</f>
        <v>44302.62</v>
      </c>
      <c r="H10" s="8">
        <f>IF(H8*(1+$K$6)&lt;'Locality and Max Pay'!$D$7,H8*(1+$K$6),'Locality and Max Pay'!$D$7)</f>
        <v>51870.46</v>
      </c>
      <c r="I10" s="8">
        <f>IF(I8*(1+$K$6)&lt;'Locality and Max Pay'!$D$7,I8*(1+$K$6),'Locality and Max Pay'!$D$7)</f>
        <v>62315.85</v>
      </c>
      <c r="J10" s="8">
        <f>IF(J8*(1+$K$6)&lt;'Locality and Max Pay'!$D$7,J8*(1+$K$6),'Locality and Max Pay'!$D$7)</f>
        <v>74954.935</v>
      </c>
      <c r="K10" s="8">
        <f>IF(K8*(1+$K$6)&lt;'Locality and Max Pay'!$D$7,K8*(1+$K$6),'Locality and Max Pay'!$D$7)</f>
        <v>91638.90000000001</v>
      </c>
      <c r="L10" s="8">
        <f>IF(L8*(1+$K$6)&lt;'Locality and Max Pay'!$D$7,L8*(1+$K$6),'Locality and Max Pay'!$D$7)</f>
        <v>108802.845</v>
      </c>
      <c r="M10" s="8">
        <f>IF(M8*(1+$K$6)&lt;'Locality and Max Pay'!$D$7,M8*(1+$K$6),'Locality and Max Pay'!$D$7)</f>
        <v>129960.41</v>
      </c>
      <c r="N10" s="8">
        <f>IF(N8*(1+$K$6)&lt;'Locality and Max Pay'!$D$7,N8*(1+$K$6),'Locality and Max Pay'!$D$7)</f>
        <v>153061.195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31379.275</v>
      </c>
      <c r="C11" s="8">
        <f>IF(C9*(1+$K$6)&lt;'Locality and Max Pay'!$D$7,C9*(1+$K$6),'Locality and Max Pay'!$D$7)</f>
        <v>35826.08</v>
      </c>
      <c r="D11" s="8">
        <f>IF(D9*(1+$K$6)&lt;'Locality and Max Pay'!$D$7,D9*(1+$K$6),'Locality and Max Pay'!$D$7)</f>
        <v>41878.255000000005</v>
      </c>
      <c r="E11" s="8">
        <f>IF(E9*(1+$K$6)&lt;'Locality and Max Pay'!$D$7,E9*(1+$K$6),'Locality and Max Pay'!$D$7)</f>
        <v>49291.15</v>
      </c>
      <c r="F11" s="8">
        <f>IF(F9*(1+$K$6)&lt;'Locality and Max Pay'!$D$7,F9*(1+$K$6),'Locality and Max Pay'!$D$7)</f>
        <v>60166.425</v>
      </c>
      <c r="G11" s="8">
        <f>IF(G9*(1+$K$6)&lt;'Locality and Max Pay'!$D$7,G9*(1+$K$6),'Locality and Max Pay'!$D$7)</f>
        <v>66455.095</v>
      </c>
      <c r="H11" s="8">
        <f>IF(H9*(1+$K$6)&lt;'Locality and Max Pay'!$D$7,H9*(1+$K$6),'Locality and Max Pay'!$D$7)</f>
        <v>80404.80500000001</v>
      </c>
      <c r="I11" s="8">
        <f>IF(I9*(1+$K$6)&lt;'Locality and Max Pay'!$D$7,I9*(1+$K$6),'Locality and Max Pay'!$D$7)</f>
        <v>96592.48</v>
      </c>
      <c r="J11" s="8">
        <f>IF(J9*(1+$K$6)&lt;'Locality and Max Pay'!$D$7,J9*(1+$K$6),'Locality and Max Pay'!$D$7)</f>
        <v>116169.14</v>
      </c>
      <c r="K11" s="8">
        <f>IF(K9*(1+$K$6)&lt;'Locality and Max Pay'!$D$7,K9*(1+$K$6),'Locality and Max Pay'!$D$7)</f>
        <v>142065.92500000002</v>
      </c>
      <c r="L11" s="8">
        <f>IF(L9*(1+$K$6)&lt;'Locality and Max Pay'!$D$7,L9*(1+$K$6),'Locality and Max Pay'!$D$7)</f>
        <v>168588.315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114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0.1881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22047.5717</v>
      </c>
      <c r="C10" s="8">
        <f>IF(C8*(1+$K$6)&lt;'Locality and Max Pay'!$D$7,C8*(1+$K$6),'Locality and Max Pay'!$D$7)</f>
        <v>25197.2248</v>
      </c>
      <c r="D10" s="8">
        <f>IF(D8*(1+$K$6)&lt;'Locality and Max Pay'!$D$7,D8*(1+$K$6),'Locality and Max Pay'!$D$7)</f>
        <v>28472.816499999997</v>
      </c>
      <c r="E10" s="8">
        <f>IF(E8*(1+$K$6)&lt;'Locality and Max Pay'!$D$7,E8*(1+$K$6),'Locality and Max Pay'!$D$7)</f>
        <v>33511.548599999995</v>
      </c>
      <c r="F10" s="8">
        <f>IF(F8*(1+$K$6)&lt;'Locality and Max Pay'!$D$7,F8*(1+$K$6),'Locality and Max Pay'!$D$7)</f>
        <v>40906.282999999996</v>
      </c>
      <c r="G10" s="8">
        <f>IF(G8*(1+$K$6)&lt;'Locality and Max Pay'!$D$7,G8*(1+$K$6),'Locality and Max Pay'!$D$7)</f>
        <v>45181.0668</v>
      </c>
      <c r="H10" s="8">
        <f>IF(H8*(1+$K$6)&lt;'Locality and Max Pay'!$D$7,H8*(1+$K$6),'Locality and Max Pay'!$D$7)</f>
        <v>52898.9644</v>
      </c>
      <c r="I10" s="8">
        <f>IF(I8*(1+$K$6)&lt;'Locality and Max Pay'!$D$7,I8*(1+$K$6),'Locality and Max Pay'!$D$7)</f>
        <v>63551.469</v>
      </c>
      <c r="J10" s="8">
        <f>IF(J8*(1+$K$6)&lt;'Locality and Max Pay'!$D$7,J8*(1+$K$6),'Locality and Max Pay'!$D$7)</f>
        <v>76441.16589999999</v>
      </c>
      <c r="K10" s="8">
        <f>IF(K8*(1+$K$6)&lt;'Locality and Max Pay'!$D$7,K8*(1+$K$6),'Locality and Max Pay'!$D$7)</f>
        <v>93455.946</v>
      </c>
      <c r="L10" s="8">
        <f>IF(L8*(1+$K$6)&lt;'Locality and Max Pay'!$D$7,L8*(1+$K$6),'Locality and Max Pay'!$D$7)</f>
        <v>110960.2233</v>
      </c>
      <c r="M10" s="8">
        <f>IF(M8*(1+$K$6)&lt;'Locality and Max Pay'!$D$7,M8*(1+$K$6),'Locality and Max Pay'!$D$7)</f>
        <v>132537.3074</v>
      </c>
      <c r="N10" s="8">
        <f>IF(N8*(1+$K$6)&lt;'Locality and Max Pay'!$D$7,N8*(1+$K$6),'Locality and Max Pay'!$D$7)</f>
        <v>156096.14229999998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32001.473499999996</v>
      </c>
      <c r="C11" s="8">
        <f>IF(C9*(1+$K$6)&lt;'Locality and Max Pay'!$D$7,C9*(1+$K$6),'Locality and Max Pay'!$D$7)</f>
        <v>36536.451199999996</v>
      </c>
      <c r="D11" s="8">
        <f>IF(D9*(1+$K$6)&lt;'Locality and Max Pay'!$D$7,D9*(1+$K$6),'Locality and Max Pay'!$D$7)</f>
        <v>42708.630699999994</v>
      </c>
      <c r="E11" s="8">
        <f>IF(E9*(1+$K$6)&lt;'Locality and Max Pay'!$D$7,E9*(1+$K$6),'Locality and Max Pay'!$D$7)</f>
        <v>50268.511</v>
      </c>
      <c r="F11" s="8">
        <f>IF(F9*(1+$K$6)&lt;'Locality and Max Pay'!$D$7,F9*(1+$K$6),'Locality and Max Pay'!$D$7)</f>
        <v>61359.424499999994</v>
      </c>
      <c r="G11" s="8">
        <f>IF(G9*(1+$K$6)&lt;'Locality and Max Pay'!$D$7,G9*(1+$K$6),'Locality and Max Pay'!$D$7)</f>
        <v>67772.7883</v>
      </c>
      <c r="H11" s="8">
        <f>IF(H9*(1+$K$6)&lt;'Locality and Max Pay'!$D$7,H9*(1+$K$6),'Locality and Max Pay'!$D$7)</f>
        <v>81999.0977</v>
      </c>
      <c r="I11" s="8">
        <f>IF(I9*(1+$K$6)&lt;'Locality and Max Pay'!$D$7,I9*(1+$K$6),'Locality and Max Pay'!$D$7)</f>
        <v>98507.7472</v>
      </c>
      <c r="J11" s="8">
        <f>IF(J9*(1+$K$6)&lt;'Locality and Max Pay'!$D$7,J9*(1+$K$6),'Locality and Max Pay'!$D$7)</f>
        <v>118472.5796</v>
      </c>
      <c r="K11" s="8">
        <f>IF(K9*(1+$K$6)&lt;'Locality and Max Pay'!$D$7,K9*(1+$K$6),'Locality and Max Pay'!$D$7)</f>
        <v>144882.8545</v>
      </c>
      <c r="L11" s="8">
        <f>IF(L9*(1+$K$6)&lt;'Locality and Max Pay'!$D$7,L9*(1+$K$6),'Locality and Max Pay'!$D$7)</f>
        <v>171931.1391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45:A48"/>
    <mergeCell ref="A50:A51"/>
    <mergeCell ref="A53:A56"/>
    <mergeCell ref="A58:A61"/>
    <mergeCell ref="A83:A86"/>
    <mergeCell ref="A87:N87"/>
    <mergeCell ref="A63:A66"/>
    <mergeCell ref="A68:A71"/>
    <mergeCell ref="A73:A76"/>
    <mergeCell ref="A78:A81"/>
    <mergeCell ref="A2:N2"/>
    <mergeCell ref="A30:A33"/>
    <mergeCell ref="A35:A38"/>
    <mergeCell ref="A13:A14"/>
    <mergeCell ref="A40:A43"/>
    <mergeCell ref="B6:H6"/>
    <mergeCell ref="A16:A18"/>
    <mergeCell ref="A20:A23"/>
    <mergeCell ref="A25:A28"/>
    <mergeCell ref="A4:N4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  <col min="15" max="15" width="8.8515625" style="0" customWidth="1"/>
    <col min="16" max="16" width="13.8515625" style="0" bestFit="1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113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0.1537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21409.2109</v>
      </c>
      <c r="C10" s="8">
        <f>IF(C8*(1+$K$6)&lt;'Locality and Max Pay'!$D$7,C8*(1+$K$6),'Locality and Max Pay'!$D$7)</f>
        <v>24467.669599999997</v>
      </c>
      <c r="D10" s="8">
        <f>IF(D8*(1+$K$6)&lt;'Locality and Max Pay'!$D$7,D8*(1+$K$6),'Locality and Max Pay'!$D$7)</f>
        <v>27648.4205</v>
      </c>
      <c r="E10" s="8">
        <f>IF(E8*(1+$K$6)&lt;'Locality and Max Pay'!$D$7,E8*(1+$K$6),'Locality and Max Pay'!$D$7)</f>
        <v>32541.262199999997</v>
      </c>
      <c r="F10" s="8">
        <f>IF(F8*(1+$K$6)&lt;'Locality and Max Pay'!$D$7,F8*(1+$K$6),'Locality and Max Pay'!$D$7)</f>
        <v>39721.890999999996</v>
      </c>
      <c r="G10" s="8">
        <f>IF(G8*(1+$K$6)&lt;'Locality and Max Pay'!$D$7,G8*(1+$K$6),'Locality and Max Pay'!$D$7)</f>
        <v>43872.9036</v>
      </c>
      <c r="H10" s="8">
        <f>IF(H8*(1+$K$6)&lt;'Locality and Max Pay'!$D$7,H8*(1+$K$6),'Locality and Max Pay'!$D$7)</f>
        <v>51367.3388</v>
      </c>
      <c r="I10" s="8">
        <f>IF(I8*(1+$K$6)&lt;'Locality and Max Pay'!$D$7,I8*(1+$K$6),'Locality and Max Pay'!$D$7)</f>
        <v>61711.413</v>
      </c>
      <c r="J10" s="8">
        <f>IF(J8*(1+$K$6)&lt;'Locality and Max Pay'!$D$7,J8*(1+$K$6),'Locality and Max Pay'!$D$7)</f>
        <v>74227.9043</v>
      </c>
      <c r="K10" s="8">
        <f>IF(K8*(1+$K$6)&lt;'Locality and Max Pay'!$D$7,K8*(1+$K$6),'Locality and Max Pay'!$D$7)</f>
        <v>90750.042</v>
      </c>
      <c r="L10" s="8">
        <f>IF(L8*(1+$K$6)&lt;'Locality and Max Pay'!$D$7,L8*(1+$K$6),'Locality and Max Pay'!$D$7)</f>
        <v>107747.50409999999</v>
      </c>
      <c r="M10" s="8">
        <f>IF(M8*(1+$K$6)&lt;'Locality and Max Pay'!$D$7,M8*(1+$K$6),'Locality and Max Pay'!$D$7)</f>
        <v>128699.8498</v>
      </c>
      <c r="N10" s="8">
        <f>IF(N8*(1+$K$6)&lt;'Locality and Max Pay'!$D$7,N8*(1+$K$6),'Locality and Max Pay'!$D$7)</f>
        <v>151576.5671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31074.909499999998</v>
      </c>
      <c r="C11" s="8">
        <f>IF(C9*(1+$K$6)&lt;'Locality and Max Pay'!$D$7,C9*(1+$K$6),'Locality and Max Pay'!$D$7)</f>
        <v>35478.5824</v>
      </c>
      <c r="D11" s="8">
        <f>IF(D9*(1+$K$6)&lt;'Locality and Max Pay'!$D$7,D9*(1+$K$6),'Locality and Max Pay'!$D$7)</f>
        <v>41472.0539</v>
      </c>
      <c r="E11" s="8">
        <f>IF(E9*(1+$K$6)&lt;'Locality and Max Pay'!$D$7,E9*(1+$K$6),'Locality and Max Pay'!$D$7)</f>
        <v>48813.047</v>
      </c>
      <c r="F11" s="8">
        <f>IF(F9*(1+$K$6)&lt;'Locality and Max Pay'!$D$7,F9*(1+$K$6),'Locality and Max Pay'!$D$7)</f>
        <v>59582.8365</v>
      </c>
      <c r="G11" s="8">
        <f>IF(G9*(1+$K$6)&lt;'Locality and Max Pay'!$D$7,G9*(1+$K$6),'Locality and Max Pay'!$D$7)</f>
        <v>65810.5091</v>
      </c>
      <c r="H11" s="8">
        <f>IF(H9*(1+$K$6)&lt;'Locality and Max Pay'!$D$7,H9*(1+$K$6),'Locality and Max Pay'!$D$7)</f>
        <v>79624.9129</v>
      </c>
      <c r="I11" s="8">
        <f>IF(I9*(1+$K$6)&lt;'Locality and Max Pay'!$D$7,I9*(1+$K$6),'Locality and Max Pay'!$D$7)</f>
        <v>95655.5744</v>
      </c>
      <c r="J11" s="8">
        <f>IF(J9*(1+$K$6)&lt;'Locality and Max Pay'!$D$7,J9*(1+$K$6),'Locality and Max Pay'!$D$7)</f>
        <v>115042.3492</v>
      </c>
      <c r="K11" s="8">
        <f>IF(K9*(1+$K$6)&lt;'Locality and Max Pay'!$D$7,K9*(1+$K$6),'Locality and Max Pay'!$D$7)</f>
        <v>140687.9465</v>
      </c>
      <c r="L11" s="8">
        <f>IF(L9*(1+$K$6)&lt;'Locality and Max Pay'!$D$7,L9*(1+$K$6),'Locality and Max Pay'!$D$7)</f>
        <v>166953.0807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2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156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0.1576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21481.5832</v>
      </c>
      <c r="C10" s="8">
        <f>IF(C8*(1+$K$6)&lt;'Locality and Max Pay'!$D$7,C8*(1+$K$6),'Locality and Max Pay'!$D$7)</f>
        <v>24550.3808</v>
      </c>
      <c r="D10" s="8">
        <f>IF(D8*(1+$K$6)&lt;'Locality and Max Pay'!$D$7,D8*(1+$K$6),'Locality and Max Pay'!$D$7)</f>
        <v>27741.884</v>
      </c>
      <c r="E10" s="8">
        <f>IF(E8*(1+$K$6)&lt;'Locality and Max Pay'!$D$7,E8*(1+$K$6),'Locality and Max Pay'!$D$7)</f>
        <v>32651.2656</v>
      </c>
      <c r="F10" s="8">
        <f>IF(F8*(1+$K$6)&lt;'Locality and Max Pay'!$D$7,F8*(1+$K$6),'Locality and Max Pay'!$D$7)</f>
        <v>39856.168</v>
      </c>
      <c r="G10" s="8">
        <f>IF(G8*(1+$K$6)&lt;'Locality and Max Pay'!$D$7,G8*(1+$K$6),'Locality and Max Pay'!$D$7)</f>
        <v>44021.2128</v>
      </c>
      <c r="H10" s="8">
        <f>IF(H8*(1+$K$6)&lt;'Locality and Max Pay'!$D$7,H8*(1+$K$6),'Locality and Max Pay'!$D$7)</f>
        <v>51540.9824</v>
      </c>
      <c r="I10" s="8">
        <f>IF(I8*(1+$K$6)&lt;'Locality and Max Pay'!$D$7,I8*(1+$K$6),'Locality and Max Pay'!$D$7)</f>
        <v>61920.024</v>
      </c>
      <c r="J10" s="8">
        <f>IF(J8*(1+$K$6)&lt;'Locality and Max Pay'!$D$7,J8*(1+$K$6),'Locality and Max Pay'!$D$7)</f>
        <v>74478.82639999999</v>
      </c>
      <c r="K10" s="8">
        <f>IF(K8*(1+$K$6)&lt;'Locality and Max Pay'!$D$7,K8*(1+$K$6),'Locality and Max Pay'!$D$7)</f>
        <v>91056.81599999999</v>
      </c>
      <c r="L10" s="8">
        <f>IF(L8*(1+$K$6)&lt;'Locality and Max Pay'!$D$7,L8*(1+$K$6),'Locality and Max Pay'!$D$7)</f>
        <v>108111.7368</v>
      </c>
      <c r="M10" s="8">
        <f>IF(M8*(1+$K$6)&lt;'Locality and Max Pay'!$D$7,M8*(1+$K$6),'Locality and Max Pay'!$D$7)</f>
        <v>129134.9104</v>
      </c>
      <c r="N10" s="8">
        <f>IF(N8*(1+$K$6)&lt;'Locality and Max Pay'!$D$7,N8*(1+$K$6),'Locality and Max Pay'!$D$7)</f>
        <v>152088.9608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31179.956</v>
      </c>
      <c r="C11" s="8">
        <f>IF(C9*(1+$K$6)&lt;'Locality and Max Pay'!$D$7,C9*(1+$K$6),'Locality and Max Pay'!$D$7)</f>
        <v>35598.5152</v>
      </c>
      <c r="D11" s="8">
        <f>IF(D9*(1+$K$6)&lt;'Locality and Max Pay'!$D$7,D9*(1+$K$6),'Locality and Max Pay'!$D$7)</f>
        <v>41612.2472</v>
      </c>
      <c r="E11" s="8">
        <f>IF(E9*(1+$K$6)&lt;'Locality and Max Pay'!$D$7,E9*(1+$K$6),'Locality and Max Pay'!$D$7)</f>
        <v>48978.056</v>
      </c>
      <c r="F11" s="8">
        <f>IF(F9*(1+$K$6)&lt;'Locality and Max Pay'!$D$7,F9*(1+$K$6),'Locality and Max Pay'!$D$7)</f>
        <v>59784.252</v>
      </c>
      <c r="G11" s="8">
        <f>IF(G9*(1+$K$6)&lt;'Locality and Max Pay'!$D$7,G9*(1+$K$6),'Locality and Max Pay'!$D$7)</f>
        <v>66032.9768</v>
      </c>
      <c r="H11" s="8">
        <f>IF(H9*(1+$K$6)&lt;'Locality and Max Pay'!$D$7,H9*(1+$K$6),'Locality and Max Pay'!$D$7)</f>
        <v>79894.0792</v>
      </c>
      <c r="I11" s="8">
        <f>IF(I9*(1+$K$6)&lt;'Locality and Max Pay'!$D$7,I9*(1+$K$6),'Locality and Max Pay'!$D$7)</f>
        <v>95978.93119999999</v>
      </c>
      <c r="J11" s="8">
        <f>IF(J9*(1+$K$6)&lt;'Locality and Max Pay'!$D$7,J9*(1+$K$6),'Locality and Max Pay'!$D$7)</f>
        <v>115431.2416</v>
      </c>
      <c r="K11" s="8">
        <f>IF(K9*(1+$K$6)&lt;'Locality and Max Pay'!$D$7,K9*(1+$K$6),'Locality and Max Pay'!$D$7)</f>
        <v>141163.532</v>
      </c>
      <c r="L11" s="8">
        <f>IF(L9*(1+$K$6)&lt;'Locality and Max Pay'!$D$7,L9*(1+$K$6),'Locality and Max Pay'!$D$7)</f>
        <v>167517.4536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118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0.2116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22483.6612</v>
      </c>
      <c r="C10" s="8">
        <f>IF(C8*(1+$K$6)&lt;'Locality and Max Pay'!$D$7,C8*(1+$K$6),'Locality and Max Pay'!$D$7)</f>
        <v>25695.6128</v>
      </c>
      <c r="D10" s="8">
        <f>IF(D8*(1+$K$6)&lt;'Locality and Max Pay'!$D$7,D8*(1+$K$6),'Locality and Max Pay'!$D$7)</f>
        <v>29035.994</v>
      </c>
      <c r="E10" s="8">
        <f>IF(E8*(1+$K$6)&lt;'Locality and Max Pay'!$D$7,E8*(1+$K$6),'Locality and Max Pay'!$D$7)</f>
        <v>34174.3896</v>
      </c>
      <c r="F10" s="8">
        <f>IF(F8*(1+$K$6)&lt;'Locality and Max Pay'!$D$7,F8*(1+$K$6),'Locality and Max Pay'!$D$7)</f>
        <v>41715.388</v>
      </c>
      <c r="G10" s="8">
        <f>IF(G8*(1+$K$6)&lt;'Locality and Max Pay'!$D$7,G8*(1+$K$6),'Locality and Max Pay'!$D$7)</f>
        <v>46074.7248</v>
      </c>
      <c r="H10" s="8">
        <f>IF(H8*(1+$K$6)&lt;'Locality and Max Pay'!$D$7,H8*(1+$K$6),'Locality and Max Pay'!$D$7)</f>
        <v>53945.2784</v>
      </c>
      <c r="I10" s="8">
        <f>IF(I8*(1+$K$6)&lt;'Locality and Max Pay'!$D$7,I8*(1+$K$6),'Locality and Max Pay'!$D$7)</f>
        <v>64808.484000000004</v>
      </c>
      <c r="J10" s="8">
        <f>IF(J8*(1+$K$6)&lt;'Locality and Max Pay'!$D$7,J8*(1+$K$6),'Locality and Max Pay'!$D$7)</f>
        <v>77953.1324</v>
      </c>
      <c r="K10" s="8">
        <f>IF(K8*(1+$K$6)&lt;'Locality and Max Pay'!$D$7,K8*(1+$K$6),'Locality and Max Pay'!$D$7)</f>
        <v>95304.456</v>
      </c>
      <c r="L10" s="8">
        <f>IF(L8*(1+$K$6)&lt;'Locality and Max Pay'!$D$7,L8*(1+$K$6),'Locality and Max Pay'!$D$7)</f>
        <v>113154.95880000001</v>
      </c>
      <c r="M10" s="8">
        <f>IF(M8*(1+$K$6)&lt;'Locality and Max Pay'!$D$7,M8*(1+$K$6),'Locality and Max Pay'!$D$7)</f>
        <v>135158.8264</v>
      </c>
      <c r="N10" s="8">
        <f>IF(N8*(1+$K$6)&lt;'Locality and Max Pay'!$D$7,N8*(1+$K$6),'Locality and Max Pay'!$D$7)</f>
        <v>159183.6428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32634.446</v>
      </c>
      <c r="C11" s="8">
        <f>IF(C9*(1+$K$6)&lt;'Locality and Max Pay'!$D$7,C9*(1+$K$6),'Locality and Max Pay'!$D$7)</f>
        <v>37259.1232</v>
      </c>
      <c r="D11" s="8">
        <f>IF(D9*(1+$K$6)&lt;'Locality and Max Pay'!$D$7,D9*(1+$K$6),'Locality and Max Pay'!$D$7)</f>
        <v>43553.3852</v>
      </c>
      <c r="E11" s="8">
        <f>IF(E9*(1+$K$6)&lt;'Locality and Max Pay'!$D$7,E9*(1+$K$6),'Locality and Max Pay'!$D$7)</f>
        <v>51262.796</v>
      </c>
      <c r="F11" s="8">
        <f>IF(F9*(1+$K$6)&lt;'Locality and Max Pay'!$D$7,F9*(1+$K$6),'Locality and Max Pay'!$D$7)</f>
        <v>62573.082</v>
      </c>
      <c r="G11" s="8">
        <f>IF(G9*(1+$K$6)&lt;'Locality and Max Pay'!$D$7,G9*(1+$K$6),'Locality and Max Pay'!$D$7)</f>
        <v>69113.2988</v>
      </c>
      <c r="H11" s="8">
        <f>IF(H9*(1+$K$6)&lt;'Locality and Max Pay'!$D$7,H9*(1+$K$6),'Locality and Max Pay'!$D$7)</f>
        <v>83620.9972</v>
      </c>
      <c r="I11" s="8">
        <f>IF(I9*(1+$K$6)&lt;'Locality and Max Pay'!$D$7,I9*(1+$K$6),'Locality and Max Pay'!$D$7)</f>
        <v>100456.1792</v>
      </c>
      <c r="J11" s="8">
        <f>IF(J9*(1+$K$6)&lt;'Locality and Max Pay'!$D$7,J9*(1+$K$6),'Locality and Max Pay'!$D$7)</f>
        <v>120815.9056</v>
      </c>
      <c r="K11" s="8">
        <f>IF(K9*(1+$K$6)&lt;'Locality and Max Pay'!$D$7,K9*(1+$K$6),'Locality and Max Pay'!$D$7)</f>
        <v>147748.562</v>
      </c>
      <c r="L11" s="8">
        <f>IF(L9*(1+$K$6)&lt;'Locality and Max Pay'!$D$7,L9*(1+$K$6),'Locality and Max Pay'!$D$7)</f>
        <v>175331.8476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50:A51"/>
    <mergeCell ref="A53:A56"/>
    <mergeCell ref="A58:A61"/>
    <mergeCell ref="A45:A48"/>
    <mergeCell ref="A87:N87"/>
    <mergeCell ref="A63:A66"/>
    <mergeCell ref="A73:A76"/>
    <mergeCell ref="A78:A81"/>
    <mergeCell ref="A83:A86"/>
    <mergeCell ref="A68:A71"/>
    <mergeCell ref="A2:N2"/>
    <mergeCell ref="A40:A43"/>
    <mergeCell ref="A13:A14"/>
    <mergeCell ref="A16:A18"/>
    <mergeCell ref="A20:A23"/>
    <mergeCell ref="B6:H6"/>
    <mergeCell ref="A25:A28"/>
    <mergeCell ref="A30:A33"/>
    <mergeCell ref="A35:A38"/>
    <mergeCell ref="A4:N4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zeroHeight="1"/>
  <cols>
    <col min="1" max="1" width="19.140625" style="22" customWidth="1"/>
    <col min="2" max="7" width="11.421875" style="22" customWidth="1"/>
    <col min="8" max="8" width="13.140625" style="22" customWidth="1"/>
    <col min="9" max="9" width="12.8515625" style="22" customWidth="1"/>
    <col min="10" max="10" width="14.28125" style="22" customWidth="1"/>
    <col min="11" max="11" width="13.421875" style="22" customWidth="1"/>
    <col min="12" max="14" width="11.421875" style="22" customWidth="1"/>
    <col min="15" max="16384" width="9.140625" style="22" customWidth="1"/>
  </cols>
  <sheetData>
    <row r="1" ht="3" customHeight="1"/>
    <row r="2" spans="1:14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ht="12.75" customHeight="1"/>
    <row r="4" spans="1:14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ht="12.75"/>
    <row r="6" spans="1:14" ht="15.75" customHeight="1">
      <c r="A6" s="16" t="s">
        <v>82</v>
      </c>
      <c r="B6" s="106" t="s">
        <v>157</v>
      </c>
      <c r="C6" s="107"/>
      <c r="D6" s="107"/>
      <c r="E6" s="107"/>
      <c r="F6" s="107"/>
      <c r="G6" s="107"/>
      <c r="H6" s="108"/>
      <c r="I6" s="21"/>
      <c r="J6" s="54" t="s">
        <v>83</v>
      </c>
      <c r="K6" s="55">
        <f>VLOOKUP(B6,'Locality and Max Pay'!$A$7:$B$54,2,FALSE)</f>
        <v>0.1671</v>
      </c>
      <c r="L6" s="41"/>
      <c r="M6" s="41"/>
      <c r="N6" s="60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21657.8747</v>
      </c>
      <c r="C10" s="8">
        <f>IF(C8*(1+$K$6)&lt;'Locality and Max Pay'!$D$7,C8*(1+$K$6),'Locality and Max Pay'!$D$7)</f>
        <v>24751.8568</v>
      </c>
      <c r="D10" s="8">
        <f>IF(D8*(1+$K$6)&lt;'Locality and Max Pay'!$D$7,D8*(1+$K$6),'Locality and Max Pay'!$D$7)</f>
        <v>27969.5515</v>
      </c>
      <c r="E10" s="8">
        <f>IF(E8*(1+$K$6)&lt;'Locality and Max Pay'!$D$7,E8*(1+$K$6),'Locality and Max Pay'!$D$7)</f>
        <v>32919.2226</v>
      </c>
      <c r="F10" s="8">
        <f>IF(F8*(1+$K$6)&lt;'Locality and Max Pay'!$D$7,F8*(1+$K$6),'Locality and Max Pay'!$D$7)</f>
        <v>40183.253000000004</v>
      </c>
      <c r="G10" s="8">
        <f>IF(G8*(1+$K$6)&lt;'Locality and Max Pay'!$D$7,G8*(1+$K$6),'Locality and Max Pay'!$D$7)</f>
        <v>44382.478800000004</v>
      </c>
      <c r="H10" s="8">
        <f>IF(H8*(1+$K$6)&lt;'Locality and Max Pay'!$D$7,H8*(1+$K$6),'Locality and Max Pay'!$D$7)</f>
        <v>51963.9604</v>
      </c>
      <c r="I10" s="8">
        <f>IF(I8*(1+$K$6)&lt;'Locality and Max Pay'!$D$7,I8*(1+$K$6),'Locality and Max Pay'!$D$7)</f>
        <v>62428.179000000004</v>
      </c>
      <c r="J10" s="8">
        <f>IF(J8*(1+$K$6)&lt;'Locality and Max Pay'!$D$7,J8*(1+$K$6),'Locality and Max Pay'!$D$7)</f>
        <v>75090.0469</v>
      </c>
      <c r="K10" s="8">
        <f>IF(K8*(1+$K$6)&lt;'Locality and Max Pay'!$D$7,K8*(1+$K$6),'Locality and Max Pay'!$D$7)</f>
        <v>91804.086</v>
      </c>
      <c r="L10" s="8">
        <f>IF(L8*(1+$K$6)&lt;'Locality and Max Pay'!$D$7,L8*(1+$K$6),'Locality and Max Pay'!$D$7)</f>
        <v>108998.9703</v>
      </c>
      <c r="M10" s="8">
        <f>IF(M8*(1+$K$6)&lt;'Locality and Max Pay'!$D$7,M8*(1+$K$6),'Locality and Max Pay'!$D$7)</f>
        <v>130194.6734</v>
      </c>
      <c r="N10" s="8">
        <f>IF(N8*(1+$K$6)&lt;'Locality and Max Pay'!$D$7,N8*(1+$K$6),'Locality and Max Pay'!$D$7)</f>
        <v>153337.0993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31435.8385</v>
      </c>
      <c r="C11" s="8">
        <f>IF(C9*(1+$K$6)&lt;'Locality and Max Pay'!$D$7,C9*(1+$K$6),'Locality and Max Pay'!$D$7)</f>
        <v>35890.6592</v>
      </c>
      <c r="D11" s="8">
        <f>IF(D9*(1+$K$6)&lt;'Locality and Max Pay'!$D$7,D9*(1+$K$6),'Locality and Max Pay'!$D$7)</f>
        <v>41953.7437</v>
      </c>
      <c r="E11" s="8">
        <f>IF(E9*(1+$K$6)&lt;'Locality and Max Pay'!$D$7,E9*(1+$K$6),'Locality and Max Pay'!$D$7)</f>
        <v>49380.001000000004</v>
      </c>
      <c r="F11" s="8">
        <f>IF(F9*(1+$K$6)&lt;'Locality and Max Pay'!$D$7,F9*(1+$K$6),'Locality and Max Pay'!$D$7)</f>
        <v>60274.8795</v>
      </c>
      <c r="G11" s="8">
        <f>IF(G9*(1+$K$6)&lt;'Locality and Max Pay'!$D$7,G9*(1+$K$6),'Locality and Max Pay'!$D$7)</f>
        <v>66574.8853</v>
      </c>
      <c r="H11" s="8">
        <f>IF(H9*(1+$K$6)&lt;'Locality and Max Pay'!$D$7,H9*(1+$K$6),'Locality and Max Pay'!$D$7)</f>
        <v>80549.7407</v>
      </c>
      <c r="I11" s="8">
        <f>IF(I9*(1+$K$6)&lt;'Locality and Max Pay'!$D$7,I9*(1+$K$6),'Locality and Max Pay'!$D$7)</f>
        <v>96766.5952</v>
      </c>
      <c r="J11" s="8">
        <f>IF(J9*(1+$K$6)&lt;'Locality and Max Pay'!$D$7,J9*(1+$K$6),'Locality and Max Pay'!$D$7)</f>
        <v>116378.5436</v>
      </c>
      <c r="K11" s="8">
        <f>IF(K9*(1+$K$6)&lt;'Locality and Max Pay'!$D$7,K9*(1+$K$6),'Locality and Max Pay'!$D$7)</f>
        <v>142322.00950000001</v>
      </c>
      <c r="L11" s="8">
        <f>IF(L9*(1+$K$6)&lt;'Locality and Max Pay'!$D$7,L9*(1+$K$6),'Locality and Max Pay'!$D$7)</f>
        <v>168892.20810000002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DDE" sheet="1" objects="1" scenarios="1"/>
  <mergeCells count="20">
    <mergeCell ref="A83:A86"/>
    <mergeCell ref="A87:N87"/>
    <mergeCell ref="A53:A56"/>
    <mergeCell ref="A58:A61"/>
    <mergeCell ref="A63:A66"/>
    <mergeCell ref="A68:A71"/>
    <mergeCell ref="A73:A76"/>
    <mergeCell ref="A78:A81"/>
    <mergeCell ref="A50:A51"/>
    <mergeCell ref="A2:N2"/>
    <mergeCell ref="A4:N4"/>
    <mergeCell ref="B6:H6"/>
    <mergeCell ref="A13:A14"/>
    <mergeCell ref="A16:A18"/>
    <mergeCell ref="A20:A23"/>
    <mergeCell ref="A25:A28"/>
    <mergeCell ref="A30:A33"/>
    <mergeCell ref="A35:A38"/>
    <mergeCell ref="A40:A43"/>
    <mergeCell ref="A45:A48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2.75" zeroHeight="1"/>
  <cols>
    <col min="1" max="1" width="19.140625" style="0" customWidth="1"/>
    <col min="2" max="7" width="11.421875" style="0" customWidth="1"/>
    <col min="8" max="8" width="13.140625" style="0" customWidth="1"/>
    <col min="9" max="9" width="12.8515625" style="0" customWidth="1"/>
    <col min="10" max="10" width="14.28125" style="0" customWidth="1"/>
    <col min="11" max="11" width="13.421875" style="0" customWidth="1"/>
    <col min="12" max="14" width="11.421875" style="0" customWidth="1"/>
  </cols>
  <sheetData>
    <row r="1" s="22" customFormat="1" ht="3" customHeight="1"/>
    <row r="2" spans="1:14" s="22" customFormat="1" ht="20.25" customHeight="1">
      <c r="A2" s="100" t="str">
        <f>'Locality and Max Pay'!$F$12</f>
        <v>Core Compensation Plan Pay Bands, effective January 7, 2018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="22" customFormat="1" ht="12.75" customHeight="1"/>
    <row r="4" spans="1:14" s="22" customFormat="1" ht="30" customHeight="1">
      <c r="A4" s="97" t="str">
        <f>'Locality and Max Pay'!F6</f>
        <v>Note:  Pay rates for FAA employees, including locality pay, are capped by law at $189,600 — the rate for level II of the Executive Schedule (P.L. 104-264 paragraph 40122 c).  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="22" customFormat="1" ht="12.75"/>
    <row r="6" spans="1:14" ht="15.75" customHeight="1">
      <c r="A6" s="16" t="s">
        <v>82</v>
      </c>
      <c r="B6" s="106" t="s">
        <v>119</v>
      </c>
      <c r="C6" s="107"/>
      <c r="D6" s="107"/>
      <c r="E6" s="107"/>
      <c r="F6" s="107"/>
      <c r="G6" s="107"/>
      <c r="H6" s="108"/>
      <c r="I6" s="17"/>
      <c r="J6" s="54" t="s">
        <v>83</v>
      </c>
      <c r="K6" s="55">
        <f>VLOOKUP(B6,'Locality and Max Pay'!$A$7:$B$54,2,FALSE)</f>
        <v>0.2748</v>
      </c>
      <c r="L6" s="15"/>
      <c r="M6" s="59"/>
      <c r="N6" s="17"/>
    </row>
    <row r="7" spans="1:14" ht="12.75" customHeight="1">
      <c r="A7" s="2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90</v>
      </c>
    </row>
    <row r="8" spans="1:14" s="22" customFormat="1" ht="12.75">
      <c r="A8" s="4" t="s">
        <v>35</v>
      </c>
      <c r="B8" s="56">
        <f>'No Locality'!B8</f>
        <v>18557</v>
      </c>
      <c r="C8" s="56">
        <f>'No Locality'!C8</f>
        <v>21208</v>
      </c>
      <c r="D8" s="56">
        <f>'No Locality'!D8</f>
        <v>23965</v>
      </c>
      <c r="E8" s="56">
        <f>'No Locality'!E8</f>
        <v>28206</v>
      </c>
      <c r="F8" s="56">
        <f>'No Locality'!F8</f>
        <v>34430</v>
      </c>
      <c r="G8" s="56">
        <f>'No Locality'!G8</f>
        <v>38028</v>
      </c>
      <c r="H8" s="56">
        <f>'No Locality'!H8</f>
        <v>44524</v>
      </c>
      <c r="I8" s="56">
        <f>'No Locality'!I8</f>
        <v>53490</v>
      </c>
      <c r="J8" s="56">
        <f>'No Locality'!J8</f>
        <v>64339</v>
      </c>
      <c r="K8" s="56">
        <f>'No Locality'!K8</f>
        <v>78660</v>
      </c>
      <c r="L8" s="56">
        <f>'No Locality'!L8</f>
        <v>93393</v>
      </c>
      <c r="M8" s="56">
        <f>'No Locality'!M8</f>
        <v>111554</v>
      </c>
      <c r="N8" s="56">
        <f>'No Locality'!N8</f>
        <v>131383</v>
      </c>
    </row>
    <row r="9" spans="1:14" s="22" customFormat="1" ht="13.5" thickBot="1">
      <c r="A9" s="6" t="s">
        <v>36</v>
      </c>
      <c r="B9" s="57">
        <f>'No Locality'!B9</f>
        <v>26935</v>
      </c>
      <c r="C9" s="57">
        <f>'No Locality'!C9</f>
        <v>30752</v>
      </c>
      <c r="D9" s="57">
        <f>'No Locality'!D9</f>
        <v>35947</v>
      </c>
      <c r="E9" s="57">
        <f>'No Locality'!E9</f>
        <v>42310</v>
      </c>
      <c r="F9" s="57">
        <f>'No Locality'!F9</f>
        <v>51645</v>
      </c>
      <c r="G9" s="57">
        <f>'No Locality'!G9</f>
        <v>57043</v>
      </c>
      <c r="H9" s="57">
        <f>'No Locality'!H9</f>
        <v>69017</v>
      </c>
      <c r="I9" s="57">
        <f>'No Locality'!I9</f>
        <v>82912</v>
      </c>
      <c r="J9" s="57">
        <f>'No Locality'!J9</f>
        <v>99716</v>
      </c>
      <c r="K9" s="57">
        <f>'No Locality'!K9</f>
        <v>121945</v>
      </c>
      <c r="L9" s="57">
        <f>'No Locality'!L9</f>
        <v>144711</v>
      </c>
      <c r="M9" s="57">
        <f>'No Locality'!M9</f>
        <v>172951</v>
      </c>
      <c r="N9" s="57">
        <f>'No Locality'!N9</f>
        <v>177405</v>
      </c>
    </row>
    <row r="10" spans="1:14" ht="12.75" customHeight="1">
      <c r="A10" s="7" t="s">
        <v>37</v>
      </c>
      <c r="B10" s="8">
        <f>IF(B8*(1+$K$6)&lt;'Locality and Max Pay'!$D$7,B8*(1+$K$6),'Locality and Max Pay'!$D$7)</f>
        <v>23656.4636</v>
      </c>
      <c r="C10" s="8">
        <f>IF(C8*(1+$K$6)&lt;'Locality and Max Pay'!$D$7,C8*(1+$K$6),'Locality and Max Pay'!$D$7)</f>
        <v>27035.9584</v>
      </c>
      <c r="D10" s="8">
        <f>IF(D8*(1+$K$6)&lt;'Locality and Max Pay'!$D$7,D8*(1+$K$6),'Locality and Max Pay'!$D$7)</f>
        <v>30550.582</v>
      </c>
      <c r="E10" s="8">
        <f>IF(E8*(1+$K$6)&lt;'Locality and Max Pay'!$D$7,E8*(1+$K$6),'Locality and Max Pay'!$D$7)</f>
        <v>35957.008799999996</v>
      </c>
      <c r="F10" s="8">
        <f>IF(F8*(1+$K$6)&lt;'Locality and Max Pay'!$D$7,F8*(1+$K$6),'Locality and Max Pay'!$D$7)</f>
        <v>43891.363999999994</v>
      </c>
      <c r="G10" s="8">
        <f>IF(G8*(1+$K$6)&lt;'Locality and Max Pay'!$D$7,G8*(1+$K$6),'Locality and Max Pay'!$D$7)</f>
        <v>48478.094399999994</v>
      </c>
      <c r="H10" s="8">
        <f>IF(H8*(1+$K$6)&lt;'Locality and Max Pay'!$D$7,H8*(1+$K$6),'Locality and Max Pay'!$D$7)</f>
        <v>56759.195199999995</v>
      </c>
      <c r="I10" s="8">
        <f>IF(I8*(1+$K$6)&lt;'Locality and Max Pay'!$D$7,I8*(1+$K$6),'Locality and Max Pay'!$D$7)</f>
        <v>68189.052</v>
      </c>
      <c r="J10" s="8">
        <f>IF(J8*(1+$K$6)&lt;'Locality and Max Pay'!$D$7,J8*(1+$K$6),'Locality and Max Pay'!$D$7)</f>
        <v>82019.3572</v>
      </c>
      <c r="K10" s="8">
        <f>IF(K8*(1+$K$6)&lt;'Locality and Max Pay'!$D$7,K8*(1+$K$6),'Locality and Max Pay'!$D$7)</f>
        <v>100275.768</v>
      </c>
      <c r="L10" s="8">
        <f>IF(L8*(1+$K$6)&lt;'Locality and Max Pay'!$D$7,L8*(1+$K$6),'Locality and Max Pay'!$D$7)</f>
        <v>119057.3964</v>
      </c>
      <c r="M10" s="8">
        <f>IF(M8*(1+$K$6)&lt;'Locality and Max Pay'!$D$7,M8*(1+$K$6),'Locality and Max Pay'!$D$7)</f>
        <v>142209.0392</v>
      </c>
      <c r="N10" s="8">
        <f>IF(N8*(1+$K$6)&lt;'Locality and Max Pay'!$D$7,N8*(1+$K$6),'Locality and Max Pay'!$D$7)</f>
        <v>167487.0484</v>
      </c>
    </row>
    <row r="11" spans="1:14" ht="12.75" customHeight="1">
      <c r="A11" s="4" t="s">
        <v>38</v>
      </c>
      <c r="B11" s="8">
        <f>IF(B9*(1+$K$6)&lt;'Locality and Max Pay'!$D$7,B9*(1+$K$6),'Locality and Max Pay'!$D$7)</f>
        <v>34336.738</v>
      </c>
      <c r="C11" s="8">
        <f>IF(C9*(1+$K$6)&lt;'Locality and Max Pay'!$D$7,C9*(1+$K$6),'Locality and Max Pay'!$D$7)</f>
        <v>39202.6496</v>
      </c>
      <c r="D11" s="8">
        <f>IF(D9*(1+$K$6)&lt;'Locality and Max Pay'!$D$7,D9*(1+$K$6),'Locality and Max Pay'!$D$7)</f>
        <v>45825.2356</v>
      </c>
      <c r="E11" s="8">
        <f>IF(E9*(1+$K$6)&lt;'Locality and Max Pay'!$D$7,E9*(1+$K$6),'Locality and Max Pay'!$D$7)</f>
        <v>53936.788</v>
      </c>
      <c r="F11" s="8">
        <f>IF(F9*(1+$K$6)&lt;'Locality and Max Pay'!$D$7,F9*(1+$K$6),'Locality and Max Pay'!$D$7)</f>
        <v>65837.046</v>
      </c>
      <c r="G11" s="8">
        <f>IF(G9*(1+$K$6)&lt;'Locality and Max Pay'!$D$7,G9*(1+$K$6),'Locality and Max Pay'!$D$7)</f>
        <v>72718.4164</v>
      </c>
      <c r="H11" s="8">
        <f>IF(H9*(1+$K$6)&lt;'Locality and Max Pay'!$D$7,H9*(1+$K$6),'Locality and Max Pay'!$D$7)</f>
        <v>87982.8716</v>
      </c>
      <c r="I11" s="8">
        <f>IF(I9*(1+$K$6)&lt;'Locality and Max Pay'!$D$7,I9*(1+$K$6),'Locality and Max Pay'!$D$7)</f>
        <v>105696.21759999999</v>
      </c>
      <c r="J11" s="8">
        <f>IF(J9*(1+$K$6)&lt;'Locality and Max Pay'!$D$7,J9*(1+$K$6),'Locality and Max Pay'!$D$7)</f>
        <v>127117.9568</v>
      </c>
      <c r="K11" s="8">
        <f>IF(K9*(1+$K$6)&lt;'Locality and Max Pay'!$D$7,K9*(1+$K$6),'Locality and Max Pay'!$D$7)</f>
        <v>155455.486</v>
      </c>
      <c r="L11" s="8">
        <f>IF(L9*(1+$K$6)&lt;'Locality and Max Pay'!$D$7,L9*(1+$K$6),'Locality and Max Pay'!$D$7)</f>
        <v>184477.5828</v>
      </c>
      <c r="M11" s="8">
        <f>IF(M9*(1+$K$6)&lt;'Locality and Max Pay'!$D$7,M9*(1+$K$6),'Locality and Max Pay'!$D$7)</f>
        <v>189600</v>
      </c>
      <c r="N11" s="8">
        <f>IF(N9*(1+$K$6)&lt;'Locality and Max Pay'!$D$7,N9*(1+$K$6),'Locality and Max Pay'!$D$7)</f>
        <v>189600</v>
      </c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12.75">
      <c r="A13" s="96" t="s">
        <v>39</v>
      </c>
      <c r="B13" s="11"/>
      <c r="C13" s="12" t="s">
        <v>40</v>
      </c>
      <c r="D13" s="12" t="s">
        <v>41</v>
      </c>
      <c r="E13" s="12" t="s">
        <v>42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96"/>
      <c r="B14" s="11"/>
      <c r="C14" s="13" t="s">
        <v>43</v>
      </c>
      <c r="D14" s="13" t="s">
        <v>44</v>
      </c>
      <c r="E14" s="13" t="s">
        <v>45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0" t="s">
        <v>46</v>
      </c>
      <c r="B16" s="11"/>
      <c r="C16" s="11"/>
      <c r="D16" s="12" t="s">
        <v>40</v>
      </c>
      <c r="E16" s="12" t="s">
        <v>41</v>
      </c>
      <c r="F16" s="12" t="s">
        <v>42</v>
      </c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90"/>
      <c r="B17" s="11"/>
      <c r="C17" s="11"/>
      <c r="D17" s="13" t="s">
        <v>47</v>
      </c>
      <c r="E17" s="13" t="s">
        <v>48</v>
      </c>
      <c r="F17" s="13" t="s">
        <v>49</v>
      </c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0"/>
      <c r="B18" s="11"/>
      <c r="C18" s="11"/>
      <c r="D18" s="11"/>
      <c r="E18" s="11"/>
      <c r="F18" s="11"/>
      <c r="G18" s="12" t="s">
        <v>50</v>
      </c>
      <c r="H18" s="12" t="s">
        <v>51</v>
      </c>
      <c r="I18" s="11"/>
      <c r="J18" s="11"/>
      <c r="K18" s="11"/>
      <c r="L18" s="11"/>
      <c r="M18" s="11"/>
      <c r="N18" s="11"/>
    </row>
    <row r="19" spans="1:14" ht="12.7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90" t="s">
        <v>52</v>
      </c>
      <c r="B20" s="11"/>
      <c r="C20" s="11"/>
      <c r="D20" s="11"/>
      <c r="E20" s="12" t="s">
        <v>40</v>
      </c>
      <c r="F20" s="12" t="s">
        <v>41</v>
      </c>
      <c r="G20" s="12" t="s">
        <v>42</v>
      </c>
      <c r="H20" s="11"/>
      <c r="I20" s="11"/>
      <c r="J20" s="11"/>
      <c r="K20" s="11"/>
      <c r="L20" s="11"/>
      <c r="M20" s="11"/>
      <c r="N20" s="11"/>
    </row>
    <row r="21" spans="1:14" ht="12.75">
      <c r="A21" s="90"/>
      <c r="B21" s="11"/>
      <c r="C21" s="11"/>
      <c r="D21" s="11"/>
      <c r="E21" s="13" t="s">
        <v>53</v>
      </c>
      <c r="F21" s="13" t="s">
        <v>49</v>
      </c>
      <c r="G21" s="13" t="s">
        <v>54</v>
      </c>
      <c r="H21" s="11"/>
      <c r="I21" s="11"/>
      <c r="J21" s="11"/>
      <c r="K21" s="11"/>
      <c r="L21" s="11"/>
      <c r="M21" s="11"/>
      <c r="N21" s="11"/>
    </row>
    <row r="22" spans="1:14" ht="12.75">
      <c r="A22" s="90"/>
      <c r="B22" s="11"/>
      <c r="C22" s="11"/>
      <c r="D22" s="11"/>
      <c r="E22" s="11"/>
      <c r="F22" s="11"/>
      <c r="G22" s="11"/>
      <c r="H22" s="12" t="s">
        <v>50</v>
      </c>
      <c r="I22" s="12" t="s">
        <v>51</v>
      </c>
      <c r="J22" s="11"/>
      <c r="K22" s="11"/>
      <c r="L22" s="11"/>
      <c r="M22" s="11"/>
      <c r="N22" s="11"/>
    </row>
    <row r="23" spans="1:14" ht="12.75">
      <c r="A23" s="90"/>
      <c r="B23" s="11"/>
      <c r="C23" s="11"/>
      <c r="D23" s="11"/>
      <c r="E23" s="11"/>
      <c r="F23" s="11"/>
      <c r="G23" s="11"/>
      <c r="H23" s="13" t="s">
        <v>55</v>
      </c>
      <c r="I23" s="13" t="s">
        <v>56</v>
      </c>
      <c r="J23" s="11"/>
      <c r="K23" s="11"/>
      <c r="L23" s="11"/>
      <c r="M23" s="11"/>
      <c r="N23" s="11"/>
    </row>
    <row r="24" spans="1:14" ht="12.7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0" t="s">
        <v>57</v>
      </c>
      <c r="B25" s="11"/>
      <c r="C25" s="11"/>
      <c r="D25" s="11"/>
      <c r="E25" s="11"/>
      <c r="F25" s="12" t="s">
        <v>40</v>
      </c>
      <c r="G25" s="12" t="s">
        <v>41</v>
      </c>
      <c r="H25" s="12" t="s">
        <v>42</v>
      </c>
      <c r="I25" s="11"/>
      <c r="J25" s="11"/>
      <c r="K25" s="11"/>
      <c r="L25" s="11"/>
      <c r="M25" s="11"/>
      <c r="N25" s="11"/>
    </row>
    <row r="26" spans="1:14" ht="12.75">
      <c r="A26" s="90"/>
      <c r="B26" s="11"/>
      <c r="C26" s="11"/>
      <c r="D26" s="11"/>
      <c r="E26" s="11"/>
      <c r="F26" s="13" t="s">
        <v>48</v>
      </c>
      <c r="G26" s="13" t="s">
        <v>49</v>
      </c>
      <c r="H26" s="13" t="s">
        <v>58</v>
      </c>
      <c r="I26" s="11"/>
      <c r="J26" s="11"/>
      <c r="K26" s="11"/>
      <c r="L26" s="11"/>
      <c r="M26" s="11"/>
      <c r="N26" s="11"/>
    </row>
    <row r="27" spans="1:14" ht="12.75">
      <c r="A27" s="90"/>
      <c r="B27" s="11"/>
      <c r="C27" s="11"/>
      <c r="D27" s="11"/>
      <c r="E27" s="11"/>
      <c r="F27" s="11"/>
      <c r="G27" s="11"/>
      <c r="H27" s="11"/>
      <c r="I27" s="12" t="s">
        <v>50</v>
      </c>
      <c r="J27" s="12" t="s">
        <v>51</v>
      </c>
      <c r="K27" s="11"/>
      <c r="L27" s="11"/>
      <c r="M27" s="11"/>
      <c r="N27" s="11"/>
    </row>
    <row r="28" spans="1:14" ht="12.75">
      <c r="A28" s="90"/>
      <c r="B28" s="11"/>
      <c r="C28" s="11"/>
      <c r="D28" s="11"/>
      <c r="E28" s="11"/>
      <c r="F28" s="11"/>
      <c r="G28" s="11"/>
      <c r="H28" s="11"/>
      <c r="I28" s="13" t="s">
        <v>59</v>
      </c>
      <c r="J28" s="13" t="s">
        <v>60</v>
      </c>
      <c r="K28" s="11"/>
      <c r="L28" s="11"/>
      <c r="M28" s="11"/>
      <c r="N28" s="11"/>
    </row>
    <row r="29" spans="1:14" ht="12.7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2" customFormat="1" ht="16.5" customHeight="1">
      <c r="A30" s="90" t="s">
        <v>61</v>
      </c>
      <c r="B30" s="12"/>
      <c r="C30" s="12"/>
      <c r="D30" s="12"/>
      <c r="E30" s="12"/>
      <c r="F30" s="12"/>
      <c r="G30" s="12" t="s">
        <v>40</v>
      </c>
      <c r="H30" s="12" t="s">
        <v>41</v>
      </c>
      <c r="I30" s="12" t="s">
        <v>42</v>
      </c>
      <c r="J30" s="12"/>
      <c r="K30" s="12"/>
      <c r="L30" s="12"/>
      <c r="M30" s="12"/>
      <c r="N30" s="12"/>
    </row>
    <row r="31" spans="1:14" s="22" customFormat="1" ht="16.5" customHeight="1">
      <c r="A31" s="90"/>
      <c r="B31" s="12"/>
      <c r="C31" s="12"/>
      <c r="D31" s="12"/>
      <c r="E31" s="12"/>
      <c r="F31" s="12"/>
      <c r="G31" s="24" t="s">
        <v>62</v>
      </c>
      <c r="H31" s="24" t="s">
        <v>63</v>
      </c>
      <c r="I31" s="24" t="s">
        <v>64</v>
      </c>
      <c r="J31" s="12"/>
      <c r="K31" s="12"/>
      <c r="L31" s="12"/>
      <c r="M31" s="12"/>
      <c r="N31" s="12"/>
    </row>
    <row r="32" spans="1:14" s="22" customFormat="1" ht="16.5" customHeight="1">
      <c r="A32" s="90"/>
      <c r="B32" s="12"/>
      <c r="C32" s="12"/>
      <c r="D32" s="12"/>
      <c r="E32" s="12"/>
      <c r="F32" s="12"/>
      <c r="G32" s="12"/>
      <c r="H32" s="12"/>
      <c r="I32" s="12"/>
      <c r="J32" s="12" t="s">
        <v>50</v>
      </c>
      <c r="K32" s="12" t="s">
        <v>51</v>
      </c>
      <c r="L32" s="12"/>
      <c r="M32" s="12"/>
      <c r="N32" s="12"/>
    </row>
    <row r="33" spans="1:14" s="22" customFormat="1" ht="16.5" customHeight="1">
      <c r="A33" s="90"/>
      <c r="B33" s="12"/>
      <c r="C33" s="12"/>
      <c r="D33" s="12"/>
      <c r="E33" s="12"/>
      <c r="F33" s="12"/>
      <c r="G33" s="12"/>
      <c r="H33" s="12"/>
      <c r="I33" s="12"/>
      <c r="J33" s="24" t="s">
        <v>65</v>
      </c>
      <c r="K33" s="24" t="s">
        <v>66</v>
      </c>
      <c r="L33" s="12"/>
      <c r="M33" s="12"/>
      <c r="N33" s="12"/>
    </row>
    <row r="34" spans="1:14" s="22" customFormat="1" ht="16.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2" customFormat="1" ht="16.5" customHeight="1">
      <c r="A35" s="90" t="s">
        <v>67</v>
      </c>
      <c r="B35" s="12"/>
      <c r="C35" s="12"/>
      <c r="D35" s="12"/>
      <c r="E35" s="12"/>
      <c r="F35" s="12"/>
      <c r="G35" s="12" t="s">
        <v>40</v>
      </c>
      <c r="H35" s="12" t="s">
        <v>41</v>
      </c>
      <c r="I35" s="12" t="s">
        <v>42</v>
      </c>
      <c r="J35" s="12" t="s">
        <v>68</v>
      </c>
      <c r="K35" s="12" t="s">
        <v>69</v>
      </c>
      <c r="L35" s="12"/>
      <c r="M35" s="12"/>
      <c r="N35" s="12"/>
    </row>
    <row r="36" spans="1:14" s="22" customFormat="1" ht="16.5" customHeight="1">
      <c r="A36" s="90"/>
      <c r="B36" s="12"/>
      <c r="C36" s="12"/>
      <c r="D36" s="12"/>
      <c r="E36" s="12"/>
      <c r="F36" s="12"/>
      <c r="G36" s="24" t="s">
        <v>45</v>
      </c>
      <c r="H36" s="24" t="s">
        <v>63</v>
      </c>
      <c r="I36" s="24" t="s">
        <v>70</v>
      </c>
      <c r="J36" s="24" t="s">
        <v>71</v>
      </c>
      <c r="K36" s="24" t="s">
        <v>72</v>
      </c>
      <c r="L36" s="12"/>
      <c r="M36" s="12"/>
      <c r="N36" s="12"/>
    </row>
    <row r="37" spans="1:14" s="22" customFormat="1" ht="16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50</v>
      </c>
      <c r="K37" s="12" t="s">
        <v>51</v>
      </c>
      <c r="L37" s="12" t="s">
        <v>73</v>
      </c>
      <c r="M37" s="12"/>
      <c r="N37" s="12"/>
    </row>
    <row r="38" spans="1:14" s="22" customFormat="1" ht="16.5" customHeight="1">
      <c r="A38" s="90"/>
      <c r="B38" s="12"/>
      <c r="C38" s="12"/>
      <c r="D38" s="12"/>
      <c r="E38" s="12"/>
      <c r="F38" s="12"/>
      <c r="G38" s="12"/>
      <c r="H38" s="12"/>
      <c r="I38" s="12"/>
      <c r="J38" s="24" t="s">
        <v>65</v>
      </c>
      <c r="K38" s="24" t="s">
        <v>74</v>
      </c>
      <c r="L38" s="24" t="s">
        <v>75</v>
      </c>
      <c r="M38" s="12"/>
      <c r="N38" s="12"/>
    </row>
    <row r="39" spans="1:14" s="22" customFormat="1" ht="16.5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2" customFormat="1" ht="16.5" customHeight="1">
      <c r="A40" s="90" t="s">
        <v>76</v>
      </c>
      <c r="B40" s="12"/>
      <c r="C40" s="12"/>
      <c r="D40" s="12"/>
      <c r="E40" s="12"/>
      <c r="F40" s="12"/>
      <c r="G40" s="12"/>
      <c r="H40" s="12" t="s">
        <v>40</v>
      </c>
      <c r="I40" s="12" t="s">
        <v>41</v>
      </c>
      <c r="J40" s="12" t="s">
        <v>42</v>
      </c>
      <c r="K40" s="12" t="s">
        <v>68</v>
      </c>
      <c r="L40" s="12" t="s">
        <v>69</v>
      </c>
      <c r="M40" s="12"/>
      <c r="N40" s="12"/>
    </row>
    <row r="41" spans="1:14" s="22" customFormat="1" ht="16.5" customHeight="1">
      <c r="A41" s="90"/>
      <c r="B41" s="12"/>
      <c r="C41" s="12"/>
      <c r="D41" s="12"/>
      <c r="E41" s="12"/>
      <c r="F41" s="12"/>
      <c r="G41" s="12"/>
      <c r="H41" s="24" t="s">
        <v>45</v>
      </c>
      <c r="I41" s="24" t="s">
        <v>77</v>
      </c>
      <c r="J41" s="24" t="s">
        <v>71</v>
      </c>
      <c r="K41" s="24" t="s">
        <v>74</v>
      </c>
      <c r="L41" s="24" t="s">
        <v>78</v>
      </c>
      <c r="M41" s="12"/>
      <c r="N41" s="12"/>
    </row>
    <row r="42" spans="1:14" s="22" customFormat="1" ht="16.5" customHeight="1">
      <c r="A42" s="90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50</v>
      </c>
      <c r="L42" s="12" t="s">
        <v>51</v>
      </c>
      <c r="M42" s="12" t="s">
        <v>73</v>
      </c>
      <c r="N42" s="12"/>
    </row>
    <row r="43" spans="1:14" s="22" customFormat="1" ht="16.5" customHeight="1">
      <c r="A43" s="90"/>
      <c r="B43" s="12"/>
      <c r="C43" s="12"/>
      <c r="D43" s="12"/>
      <c r="E43" s="12"/>
      <c r="F43" s="12"/>
      <c r="G43" s="12"/>
      <c r="H43" s="12"/>
      <c r="I43" s="12"/>
      <c r="J43" s="12"/>
      <c r="K43" s="24" t="s">
        <v>79</v>
      </c>
      <c r="L43" s="24" t="s">
        <v>78</v>
      </c>
      <c r="M43" s="24" t="s">
        <v>80</v>
      </c>
      <c r="N43" s="24"/>
    </row>
    <row r="44" spans="1:14" s="22" customFormat="1" ht="16.5" customHeigh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2" customFormat="1" ht="16.5" customHeight="1">
      <c r="A45" s="90" t="s">
        <v>81</v>
      </c>
      <c r="B45" s="12"/>
      <c r="C45" s="12"/>
      <c r="D45" s="12"/>
      <c r="E45" s="12"/>
      <c r="F45" s="12"/>
      <c r="G45" s="12"/>
      <c r="H45" s="12" t="s">
        <v>40</v>
      </c>
      <c r="I45" s="12" t="s">
        <v>41</v>
      </c>
      <c r="J45" s="12" t="s">
        <v>42</v>
      </c>
      <c r="K45" s="12" t="s">
        <v>68</v>
      </c>
      <c r="L45" s="12" t="s">
        <v>69</v>
      </c>
      <c r="M45" s="12"/>
      <c r="N45" s="12"/>
    </row>
    <row r="46" spans="1:14" s="22" customFormat="1" ht="16.5" customHeight="1">
      <c r="A46" s="90"/>
      <c r="B46" s="12"/>
      <c r="C46" s="12"/>
      <c r="D46" s="12"/>
      <c r="E46" s="12"/>
      <c r="F46" s="12"/>
      <c r="G46" s="12"/>
      <c r="H46" s="24" t="s">
        <v>97</v>
      </c>
      <c r="I46" s="24" t="s">
        <v>98</v>
      </c>
      <c r="J46" s="24" t="s">
        <v>71</v>
      </c>
      <c r="K46" s="24" t="s">
        <v>74</v>
      </c>
      <c r="L46" s="24" t="s">
        <v>78</v>
      </c>
      <c r="M46" s="12"/>
      <c r="N46" s="12"/>
    </row>
    <row r="47" spans="1:14" s="22" customFormat="1" ht="16.5" customHeight="1">
      <c r="A47" s="90"/>
      <c r="B47" s="12"/>
      <c r="C47" s="12"/>
      <c r="D47" s="12"/>
      <c r="E47" s="12"/>
      <c r="F47" s="12"/>
      <c r="G47" s="12"/>
      <c r="H47" s="12"/>
      <c r="I47" s="12"/>
      <c r="J47" s="12"/>
      <c r="K47" s="12" t="s">
        <v>50</v>
      </c>
      <c r="L47" s="12" t="s">
        <v>51</v>
      </c>
      <c r="M47" s="12" t="s">
        <v>73</v>
      </c>
      <c r="N47" s="12"/>
    </row>
    <row r="48" spans="1:14" s="22" customFormat="1" ht="16.5" customHeight="1">
      <c r="A48" s="90"/>
      <c r="B48" s="12"/>
      <c r="C48" s="12"/>
      <c r="D48" s="12"/>
      <c r="E48" s="12"/>
      <c r="F48" s="12"/>
      <c r="G48" s="12"/>
      <c r="H48" s="12"/>
      <c r="I48" s="12"/>
      <c r="J48" s="12"/>
      <c r="K48" s="24" t="s">
        <v>79</v>
      </c>
      <c r="L48" s="24" t="s">
        <v>78</v>
      </c>
      <c r="M48" s="24" t="s">
        <v>80</v>
      </c>
      <c r="N48" s="24"/>
    </row>
    <row r="49" spans="1:14" s="22" customFormat="1" ht="16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ht="16.5" customHeight="1">
      <c r="A50" s="91" t="s">
        <v>144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 t="s">
        <v>91</v>
      </c>
      <c r="N50" s="20" t="s">
        <v>92</v>
      </c>
    </row>
    <row r="51" spans="1:14" s="28" customFormat="1" ht="17.25" customHeight="1">
      <c r="A51" s="9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 t="s">
        <v>93</v>
      </c>
      <c r="N51" s="20" t="s">
        <v>78</v>
      </c>
    </row>
    <row r="52" spans="1:14" s="28" customFormat="1" ht="16.5" customHeight="1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ht="16.5" customHeight="1">
      <c r="A53" s="91" t="s">
        <v>145</v>
      </c>
      <c r="B53" s="20"/>
      <c r="C53" s="20"/>
      <c r="D53" s="20"/>
      <c r="E53" s="20"/>
      <c r="F53" s="20"/>
      <c r="G53" s="20"/>
      <c r="H53" s="19" t="s">
        <v>40</v>
      </c>
      <c r="I53" s="19" t="s">
        <v>41</v>
      </c>
      <c r="J53" s="19" t="s">
        <v>42</v>
      </c>
      <c r="K53" s="19" t="s">
        <v>68</v>
      </c>
      <c r="L53" s="20"/>
      <c r="M53" s="20"/>
      <c r="N53" s="20"/>
    </row>
    <row r="54" spans="1:14" s="28" customFormat="1" ht="16.5" customHeight="1">
      <c r="A54" s="93"/>
      <c r="B54" s="20"/>
      <c r="C54" s="20"/>
      <c r="D54" s="20"/>
      <c r="E54" s="20"/>
      <c r="F54" s="20"/>
      <c r="G54" s="20"/>
      <c r="H54" s="30" t="s">
        <v>94</v>
      </c>
      <c r="I54" s="30" t="s">
        <v>95</v>
      </c>
      <c r="J54" s="30" t="s">
        <v>71</v>
      </c>
      <c r="K54" s="30" t="s">
        <v>74</v>
      </c>
      <c r="L54" s="20"/>
      <c r="M54" s="20"/>
      <c r="N54" s="20"/>
    </row>
    <row r="55" spans="1:14" s="28" customFormat="1" ht="16.5" customHeight="1">
      <c r="A55" s="93"/>
      <c r="B55" s="20"/>
      <c r="C55" s="20"/>
      <c r="D55" s="20"/>
      <c r="E55" s="20"/>
      <c r="F55" s="20"/>
      <c r="G55" s="20"/>
      <c r="H55" s="30"/>
      <c r="I55" s="30"/>
      <c r="J55" s="30"/>
      <c r="K55" s="19" t="s">
        <v>50</v>
      </c>
      <c r="L55" s="20"/>
      <c r="M55" s="20"/>
      <c r="N55" s="20"/>
    </row>
    <row r="56" spans="1:14" s="28" customFormat="1" ht="16.5" customHeight="1">
      <c r="A56" s="92"/>
      <c r="B56" s="20"/>
      <c r="C56" s="20"/>
      <c r="D56" s="20"/>
      <c r="E56" s="20"/>
      <c r="F56" s="20"/>
      <c r="G56" s="20"/>
      <c r="H56" s="30"/>
      <c r="I56" s="30"/>
      <c r="J56" s="30"/>
      <c r="K56" s="30" t="s">
        <v>96</v>
      </c>
      <c r="L56" s="20"/>
      <c r="M56" s="20"/>
      <c r="N56" s="20"/>
    </row>
    <row r="57" spans="1:14" s="28" customFormat="1" ht="16.5" customHeight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ht="16.5" customHeight="1">
      <c r="A58" s="91" t="s">
        <v>146</v>
      </c>
      <c r="B58" s="20"/>
      <c r="C58" s="20"/>
      <c r="D58" s="20"/>
      <c r="E58" s="20"/>
      <c r="F58" s="20"/>
      <c r="G58" s="19" t="s">
        <v>40</v>
      </c>
      <c r="H58" s="19" t="s">
        <v>41</v>
      </c>
      <c r="I58" s="19" t="s">
        <v>42</v>
      </c>
      <c r="J58" s="19" t="s">
        <v>68</v>
      </c>
      <c r="K58" s="19" t="s">
        <v>69</v>
      </c>
      <c r="L58" s="20"/>
      <c r="M58" s="20"/>
      <c r="N58" s="20"/>
    </row>
    <row r="59" spans="1:14" s="28" customFormat="1" ht="16.5" customHeight="1">
      <c r="A59" s="93"/>
      <c r="B59" s="20"/>
      <c r="C59" s="20"/>
      <c r="D59" s="20"/>
      <c r="E59" s="20"/>
      <c r="F59" s="20"/>
      <c r="G59" s="30" t="s">
        <v>94</v>
      </c>
      <c r="H59" s="30" t="s">
        <v>63</v>
      </c>
      <c r="I59" s="30" t="s">
        <v>70</v>
      </c>
      <c r="J59" s="30" t="s">
        <v>71</v>
      </c>
      <c r="K59" s="30" t="s">
        <v>72</v>
      </c>
      <c r="L59" s="20"/>
      <c r="M59" s="20"/>
      <c r="N59" s="20"/>
    </row>
    <row r="60" spans="1:16" s="28" customFormat="1" ht="16.5" customHeight="1">
      <c r="A60" s="93"/>
      <c r="B60" s="20"/>
      <c r="C60" s="20"/>
      <c r="D60" s="20"/>
      <c r="E60" s="20"/>
      <c r="F60" s="20"/>
      <c r="G60" s="20"/>
      <c r="H60" s="20"/>
      <c r="I60" s="20"/>
      <c r="J60" s="19" t="s">
        <v>50</v>
      </c>
      <c r="K60" s="19" t="s">
        <v>51</v>
      </c>
      <c r="L60" s="19" t="s">
        <v>73</v>
      </c>
      <c r="M60" s="20"/>
      <c r="N60" s="31"/>
      <c r="O60" s="35"/>
      <c r="P60" s="34"/>
    </row>
    <row r="61" spans="1:16" s="28" customFormat="1" ht="16.5" customHeight="1">
      <c r="A61" s="92"/>
      <c r="B61" s="20"/>
      <c r="C61" s="20"/>
      <c r="D61" s="20"/>
      <c r="E61" s="20"/>
      <c r="F61" s="20"/>
      <c r="G61" s="20"/>
      <c r="H61" s="20"/>
      <c r="I61" s="20"/>
      <c r="J61" s="30" t="s">
        <v>99</v>
      </c>
      <c r="K61" s="30" t="s">
        <v>74</v>
      </c>
      <c r="L61" s="30" t="s">
        <v>78</v>
      </c>
      <c r="M61" s="20"/>
      <c r="N61" s="31"/>
      <c r="O61" s="35"/>
      <c r="P61" s="34"/>
    </row>
    <row r="62" spans="1:16" s="28" customFormat="1" ht="16.5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2"/>
      <c r="O62" s="36"/>
      <c r="P62" s="34"/>
    </row>
    <row r="63" spans="1:16" s="28" customFormat="1" ht="16.5" customHeight="1">
      <c r="A63" s="91" t="s">
        <v>147</v>
      </c>
      <c r="B63" s="20"/>
      <c r="C63" s="20"/>
      <c r="D63" s="20"/>
      <c r="E63" s="20"/>
      <c r="F63" s="20"/>
      <c r="G63" s="20"/>
      <c r="H63" s="19" t="s">
        <v>40</v>
      </c>
      <c r="I63" s="19" t="s">
        <v>41</v>
      </c>
      <c r="J63" s="19" t="s">
        <v>42</v>
      </c>
      <c r="K63" s="19" t="s">
        <v>68</v>
      </c>
      <c r="L63" s="19" t="s">
        <v>69</v>
      </c>
      <c r="M63" s="20"/>
      <c r="N63" s="31"/>
      <c r="O63" s="35"/>
      <c r="P63" s="34"/>
    </row>
    <row r="64" spans="1:16" s="28" customFormat="1" ht="16.5" customHeight="1">
      <c r="A64" s="93"/>
      <c r="B64" s="20"/>
      <c r="C64" s="20"/>
      <c r="D64" s="20"/>
      <c r="E64" s="20"/>
      <c r="F64" s="20"/>
      <c r="G64" s="20"/>
      <c r="H64" s="30" t="s">
        <v>59</v>
      </c>
      <c r="I64" s="30" t="s">
        <v>70</v>
      </c>
      <c r="J64" s="30" t="s">
        <v>71</v>
      </c>
      <c r="K64" s="30" t="s">
        <v>74</v>
      </c>
      <c r="L64" s="30" t="s">
        <v>78</v>
      </c>
      <c r="M64" s="20"/>
      <c r="N64" s="31"/>
      <c r="O64" s="35"/>
      <c r="P64" s="34"/>
    </row>
    <row r="65" spans="1:16" s="28" customFormat="1" ht="16.5" customHeight="1">
      <c r="A65" s="9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 t="s">
        <v>50</v>
      </c>
      <c r="M65" s="19" t="s">
        <v>51</v>
      </c>
      <c r="N65" s="33" t="s">
        <v>73</v>
      </c>
      <c r="O65" s="35"/>
      <c r="P65" s="34"/>
    </row>
    <row r="66" spans="1:16" s="28" customFormat="1" ht="16.5" customHeight="1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0" t="s">
        <v>78</v>
      </c>
      <c r="M66" s="20"/>
      <c r="N66" s="31"/>
      <c r="O66" s="35"/>
      <c r="P66" s="34"/>
    </row>
    <row r="67" spans="1:16" s="28" customFormat="1" ht="16.5" customHeight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2"/>
      <c r="O67" s="36"/>
      <c r="P67" s="34"/>
    </row>
    <row r="68" spans="1:16" s="28" customFormat="1" ht="16.5" customHeight="1">
      <c r="A68" s="91" t="s">
        <v>148</v>
      </c>
      <c r="B68" s="20"/>
      <c r="C68" s="20"/>
      <c r="D68" s="20"/>
      <c r="E68" s="20"/>
      <c r="F68" s="20"/>
      <c r="G68" s="20"/>
      <c r="H68" s="19" t="s">
        <v>40</v>
      </c>
      <c r="I68" s="19" t="s">
        <v>41</v>
      </c>
      <c r="J68" s="19" t="s">
        <v>42</v>
      </c>
      <c r="K68" s="19" t="s">
        <v>68</v>
      </c>
      <c r="L68" s="19" t="s">
        <v>69</v>
      </c>
      <c r="M68" s="20"/>
      <c r="N68" s="31"/>
      <c r="O68" s="36"/>
      <c r="P68" s="34"/>
    </row>
    <row r="69" spans="1:16" s="28" customFormat="1" ht="16.5" customHeight="1">
      <c r="A69" s="93"/>
      <c r="B69" s="20"/>
      <c r="C69" s="20"/>
      <c r="D69" s="20"/>
      <c r="E69" s="20"/>
      <c r="F69" s="20"/>
      <c r="G69" s="20"/>
      <c r="H69" s="30" t="s">
        <v>94</v>
      </c>
      <c r="I69" s="30" t="s">
        <v>100</v>
      </c>
      <c r="J69" s="30" t="s">
        <v>71</v>
      </c>
      <c r="K69" s="30" t="s">
        <v>74</v>
      </c>
      <c r="L69" s="30" t="s">
        <v>78</v>
      </c>
      <c r="M69" s="20"/>
      <c r="N69" s="31"/>
      <c r="O69" s="36"/>
      <c r="P69" s="34"/>
    </row>
    <row r="70" spans="1:16" s="28" customFormat="1" ht="16.5" customHeight="1">
      <c r="A70" s="93"/>
      <c r="B70" s="20"/>
      <c r="C70" s="20"/>
      <c r="D70" s="20"/>
      <c r="E70" s="20"/>
      <c r="F70" s="20"/>
      <c r="G70" s="20"/>
      <c r="H70" s="20"/>
      <c r="I70" s="20"/>
      <c r="J70" s="20"/>
      <c r="K70" s="19" t="s">
        <v>102</v>
      </c>
      <c r="L70" s="20" t="s">
        <v>51</v>
      </c>
      <c r="M70" s="20" t="s">
        <v>73</v>
      </c>
      <c r="N70" s="31"/>
      <c r="O70" s="36"/>
      <c r="P70" s="34"/>
    </row>
    <row r="71" spans="1:16" s="28" customFormat="1" ht="16.5" customHeight="1">
      <c r="A71" s="92"/>
      <c r="B71" s="20"/>
      <c r="C71" s="20"/>
      <c r="D71" s="20"/>
      <c r="E71" s="20"/>
      <c r="F71" s="20"/>
      <c r="G71" s="20"/>
      <c r="H71" s="20"/>
      <c r="I71" s="20"/>
      <c r="J71" s="20"/>
      <c r="K71" s="30" t="s">
        <v>79</v>
      </c>
      <c r="L71" s="30" t="s">
        <v>78</v>
      </c>
      <c r="M71" s="20"/>
      <c r="N71" s="31"/>
      <c r="O71" s="36"/>
      <c r="P71" s="34"/>
    </row>
    <row r="72" spans="1:16" s="28" customFormat="1" ht="16.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2"/>
      <c r="O72" s="36"/>
      <c r="P72" s="34"/>
    </row>
    <row r="73" spans="1:16" s="28" customFormat="1" ht="16.5" customHeight="1">
      <c r="A73" s="91" t="s">
        <v>149</v>
      </c>
      <c r="B73" s="20"/>
      <c r="C73" s="20"/>
      <c r="D73" s="20"/>
      <c r="E73" s="20"/>
      <c r="F73" s="20"/>
      <c r="G73" s="20"/>
      <c r="H73" s="19" t="s">
        <v>40</v>
      </c>
      <c r="I73" s="19" t="s">
        <v>41</v>
      </c>
      <c r="J73" s="19" t="s">
        <v>42</v>
      </c>
      <c r="K73" s="19" t="s">
        <v>68</v>
      </c>
      <c r="L73" s="19" t="s">
        <v>69</v>
      </c>
      <c r="M73" s="20"/>
      <c r="N73" s="31"/>
      <c r="O73" s="35"/>
      <c r="P73" s="34"/>
    </row>
    <row r="74" spans="1:16" s="28" customFormat="1" ht="16.5" customHeight="1">
      <c r="A74" s="93"/>
      <c r="B74" s="20"/>
      <c r="C74" s="20"/>
      <c r="D74" s="20"/>
      <c r="E74" s="20"/>
      <c r="F74" s="20"/>
      <c r="G74" s="20"/>
      <c r="H74" s="30" t="s">
        <v>94</v>
      </c>
      <c r="I74" s="30" t="s">
        <v>100</v>
      </c>
      <c r="J74" s="30" t="s">
        <v>71</v>
      </c>
      <c r="K74" s="30" t="s">
        <v>74</v>
      </c>
      <c r="L74" s="30" t="s">
        <v>78</v>
      </c>
      <c r="M74" s="20"/>
      <c r="N74" s="31"/>
      <c r="O74" s="35"/>
      <c r="P74" s="34"/>
    </row>
    <row r="75" spans="1:16" s="28" customFormat="1" ht="16.5" customHeight="1">
      <c r="A75" s="93"/>
      <c r="B75" s="20"/>
      <c r="C75" s="20"/>
      <c r="D75" s="20"/>
      <c r="E75" s="20"/>
      <c r="F75" s="20"/>
      <c r="G75" s="20"/>
      <c r="H75" s="20"/>
      <c r="I75" s="20"/>
      <c r="J75" s="20"/>
      <c r="K75" s="19" t="s">
        <v>50</v>
      </c>
      <c r="L75" s="19" t="s">
        <v>51</v>
      </c>
      <c r="M75" s="19" t="s">
        <v>73</v>
      </c>
      <c r="N75" s="31"/>
      <c r="O75" s="35"/>
      <c r="P75" s="34"/>
    </row>
    <row r="76" spans="1:16" s="28" customFormat="1" ht="16.5" customHeight="1">
      <c r="A76" s="92"/>
      <c r="B76" s="20"/>
      <c r="C76" s="20"/>
      <c r="D76" s="20"/>
      <c r="E76" s="20"/>
      <c r="F76" s="20"/>
      <c r="G76" s="20"/>
      <c r="H76" s="20"/>
      <c r="I76" s="20"/>
      <c r="J76" s="20"/>
      <c r="K76" s="30" t="s">
        <v>79</v>
      </c>
      <c r="L76" s="30" t="s">
        <v>78</v>
      </c>
      <c r="M76" s="20"/>
      <c r="N76" s="31"/>
      <c r="O76" s="35"/>
      <c r="P76" s="34"/>
    </row>
    <row r="77" spans="1:16" s="28" customFormat="1" ht="16.5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2"/>
      <c r="O77" s="36"/>
      <c r="P77" s="34"/>
    </row>
    <row r="78" spans="1:16" s="28" customFormat="1" ht="16.5" customHeight="1">
      <c r="A78" s="91" t="s">
        <v>150</v>
      </c>
      <c r="B78" s="20"/>
      <c r="C78" s="20"/>
      <c r="D78" s="20"/>
      <c r="E78" s="20"/>
      <c r="F78" s="20"/>
      <c r="G78" s="19" t="s">
        <v>40</v>
      </c>
      <c r="H78" s="19" t="s">
        <v>41</v>
      </c>
      <c r="I78" s="19" t="s">
        <v>42</v>
      </c>
      <c r="J78" s="19" t="s">
        <v>68</v>
      </c>
      <c r="K78" s="20"/>
      <c r="L78" s="20"/>
      <c r="M78" s="20"/>
      <c r="N78" s="31"/>
      <c r="O78" s="35"/>
      <c r="P78" s="34"/>
    </row>
    <row r="79" spans="1:16" s="28" customFormat="1" ht="16.5" customHeight="1">
      <c r="A79" s="93"/>
      <c r="B79" s="20"/>
      <c r="C79" s="20"/>
      <c r="D79" s="20"/>
      <c r="E79" s="20"/>
      <c r="F79" s="20"/>
      <c r="G79" s="30" t="s">
        <v>94</v>
      </c>
      <c r="H79" s="30" t="s">
        <v>63</v>
      </c>
      <c r="I79" s="30" t="s">
        <v>70</v>
      </c>
      <c r="J79" s="30" t="s">
        <v>71</v>
      </c>
      <c r="K79" s="20"/>
      <c r="L79" s="20"/>
      <c r="M79" s="20"/>
      <c r="N79" s="31"/>
      <c r="O79" s="35"/>
      <c r="P79" s="34"/>
    </row>
    <row r="80" spans="1:16" s="28" customFormat="1" ht="16.5" customHeight="1">
      <c r="A80" s="93"/>
      <c r="B80" s="20"/>
      <c r="C80" s="20"/>
      <c r="D80" s="20"/>
      <c r="E80" s="20"/>
      <c r="F80" s="20"/>
      <c r="G80" s="20"/>
      <c r="H80" s="20"/>
      <c r="I80" s="20"/>
      <c r="J80" s="19" t="s">
        <v>50</v>
      </c>
      <c r="K80" s="19" t="s">
        <v>51</v>
      </c>
      <c r="L80" s="19" t="s">
        <v>73</v>
      </c>
      <c r="M80" s="20"/>
      <c r="N80" s="31"/>
      <c r="O80" s="35"/>
      <c r="P80" s="34"/>
    </row>
    <row r="81" spans="1:16" s="28" customFormat="1" ht="16.5" customHeight="1">
      <c r="A81" s="92"/>
      <c r="B81" s="20"/>
      <c r="C81" s="20"/>
      <c r="D81" s="20"/>
      <c r="E81" s="20"/>
      <c r="F81" s="20"/>
      <c r="G81" s="20"/>
      <c r="H81" s="20"/>
      <c r="I81" s="20"/>
      <c r="J81" s="30" t="s">
        <v>65</v>
      </c>
      <c r="K81" s="30" t="s">
        <v>74</v>
      </c>
      <c r="L81" s="30" t="s">
        <v>78</v>
      </c>
      <c r="M81" s="20"/>
      <c r="N81" s="31"/>
      <c r="O81" s="35"/>
      <c r="P81" s="34"/>
    </row>
    <row r="82" spans="1:16" s="28" customFormat="1" ht="16.5" customHeight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2"/>
      <c r="O82" s="36"/>
      <c r="P82" s="34"/>
    </row>
    <row r="83" spans="1:16" s="28" customFormat="1" ht="16.5" customHeight="1">
      <c r="A83" s="95" t="s">
        <v>151</v>
      </c>
      <c r="B83" s="20"/>
      <c r="C83" s="20"/>
      <c r="D83" s="20"/>
      <c r="E83" s="20"/>
      <c r="F83" s="20"/>
      <c r="G83" s="20"/>
      <c r="H83" s="20"/>
      <c r="I83" s="19" t="s">
        <v>40</v>
      </c>
      <c r="J83" s="19" t="s">
        <v>41</v>
      </c>
      <c r="K83" s="19" t="s">
        <v>42</v>
      </c>
      <c r="L83" s="19" t="s">
        <v>68</v>
      </c>
      <c r="M83" s="20"/>
      <c r="N83" s="31"/>
      <c r="O83" s="35"/>
      <c r="P83" s="34"/>
    </row>
    <row r="84" spans="1:16" s="28" customFormat="1" ht="16.5" customHeight="1">
      <c r="A84" s="95"/>
      <c r="B84" s="20"/>
      <c r="C84" s="20"/>
      <c r="D84" s="20"/>
      <c r="E84" s="20"/>
      <c r="F84" s="20"/>
      <c r="G84" s="20"/>
      <c r="H84" s="20"/>
      <c r="I84" s="30" t="s">
        <v>101</v>
      </c>
      <c r="J84" s="30" t="s">
        <v>71</v>
      </c>
      <c r="K84" s="30" t="s">
        <v>74</v>
      </c>
      <c r="L84" s="30" t="s">
        <v>78</v>
      </c>
      <c r="M84" s="20"/>
      <c r="N84" s="31"/>
      <c r="O84" s="35"/>
      <c r="P84" s="34"/>
    </row>
    <row r="85" spans="1:16" s="28" customFormat="1" ht="16.5" customHeight="1">
      <c r="A85" s="9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 t="s">
        <v>50</v>
      </c>
      <c r="M85" s="20"/>
      <c r="N85" s="31"/>
      <c r="O85" s="35"/>
      <c r="P85" s="34"/>
    </row>
    <row r="86" spans="1:16" s="28" customFormat="1" ht="16.5" customHeight="1">
      <c r="A86" s="9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0" t="s">
        <v>78</v>
      </c>
      <c r="M86" s="20"/>
      <c r="N86" s="31"/>
      <c r="O86" s="35"/>
      <c r="P86" s="34"/>
    </row>
    <row r="87" spans="1:16" s="28" customFormat="1" ht="16.5" customHeight="1">
      <c r="A87" s="94" t="s">
        <v>143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34"/>
      <c r="P87" s="34"/>
    </row>
    <row r="88" ht="12.75">
      <c r="A88" s="2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password="DDDE" sheet="1" objects="1" scenarios="1"/>
  <mergeCells count="20">
    <mergeCell ref="A13:A14"/>
    <mergeCell ref="A16:A18"/>
    <mergeCell ref="A20:A23"/>
    <mergeCell ref="A4:N4"/>
    <mergeCell ref="A2:N2"/>
    <mergeCell ref="B6:H6"/>
    <mergeCell ref="A53:A56"/>
    <mergeCell ref="A58:A61"/>
    <mergeCell ref="A63:A66"/>
    <mergeCell ref="A45:A48"/>
    <mergeCell ref="A87:N87"/>
    <mergeCell ref="A68:A71"/>
    <mergeCell ref="A73:A76"/>
    <mergeCell ref="A78:A81"/>
    <mergeCell ref="A83:A86"/>
    <mergeCell ref="A25:A28"/>
    <mergeCell ref="A30:A33"/>
    <mergeCell ref="A35:A38"/>
    <mergeCell ref="A40:A43"/>
    <mergeCell ref="A50:A51"/>
  </mergeCells>
  <printOptions/>
  <pageMargins left="0.5" right="0.5" top="1" bottom="0.5" header="0.5" footer="0.5"/>
  <pageSetup fitToHeight="1" fitToWidth="1" horizontalDpi="600" verticalDpi="600" orientation="portrait" scale="55"/>
  <headerFooter alignWithMargins="0">
    <oddHeader>&amp;C&amp;"Arial,Bold"&amp;12&amp;UConversion From FG to Core Compensation Plan
2018 Pay Bands With Locality&amp;"Arial,Regular"&amp;10&amp;U
</oddHeader>
    <oddFooter>&amp;L&amp;"Arial,Bold"&amp;8AHB-300&amp;C&amp;"Arial,Bold"&amp;8&amp;F&amp;R&amp;"Arial,Bold"&amp;8&amp;A&amp;"Arial,Regular"&amp;10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Demuth</dc:creator>
  <cp:keywords/>
  <dc:description/>
  <cp:lastModifiedBy>Microsoft Office User</cp:lastModifiedBy>
  <cp:lastPrinted>2018-01-08T20:26:45Z</cp:lastPrinted>
  <dcterms:created xsi:type="dcterms:W3CDTF">2000-01-22T20:32:42Z</dcterms:created>
  <dcterms:modified xsi:type="dcterms:W3CDTF">2018-09-20T14:50:36Z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